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SurfacetoGoogle\2. Resume and Credentials\5. Portfolio\"/>
    </mc:Choice>
  </mc:AlternateContent>
  <xr:revisionPtr revIDLastSave="0" documentId="13_ncr:1_{E14A85BA-E6A0-4A4F-A45F-0B981C13FF74}" xr6:coauthVersionLast="47" xr6:coauthVersionMax="47" xr10:uidLastSave="{00000000-0000-0000-0000-000000000000}"/>
  <workbookProtection workbookAlgorithmName="SHA-512" workbookHashValue="/Fl1WopAngYUiPyaAi9c7uHmPwmsHtY/LHBt7rjyHLuWNa0h7Ot7ES/KNW+xhfmDhmJrh8qAQGDtQpOAonQUfQ==" workbookSaltValue="K6X0Q7uh7dC/OfqUOgGHeA==" workbookSpinCount="100000" lockStructure="1"/>
  <bookViews>
    <workbookView xWindow="-98" yWindow="-98" windowWidth="20715" windowHeight="13276" activeTab="4" xr2:uid="{29534BA6-2454-4C06-B962-1E5CB62D5696}"/>
  </bookViews>
  <sheets>
    <sheet name="Double Entries" sheetId="33" r:id="rId1"/>
    <sheet name="Lease Summary" sheetId="1" r:id="rId2"/>
    <sheet name="1. Sengkang" sheetId="3" state="hidden" r:id="rId3"/>
    <sheet name="3. Westmall" sheetId="4" state="hidden" r:id="rId4"/>
    <sheet name="4. CTL" sheetId="8" r:id="rId5"/>
    <sheet name="5. City Sq" sheetId="5" state="hidden" r:id="rId6"/>
    <sheet name="8. JEM" sheetId="6" state="hidden" r:id="rId7"/>
    <sheet name="9. PBJ" sheetId="7" state="hidden" r:id="rId8"/>
    <sheet name="10. PSQ" sheetId="9" state="hidden" r:id="rId9"/>
    <sheet name="11. Lot1" sheetId="10" state="hidden" r:id="rId10"/>
    <sheet name="12. KWHFC" sheetId="11" state="hidden" r:id="rId11"/>
    <sheet name="13. JSC" sheetId="12" state="hidden" r:id="rId12"/>
    <sheet name="14. Viva" sheetId="13" state="hidden" r:id="rId13"/>
    <sheet name="15. Figaro" sheetId="14" state="hidden" r:id="rId14"/>
    <sheet name="16. HIM" sheetId="15" state="hidden" r:id="rId15"/>
    <sheet name="17. TMP" sheetId="17" state="hidden" r:id="rId16"/>
    <sheet name="18. CWP" sheetId="18" state="hidden" r:id="rId17"/>
    <sheet name="19. FPH" sheetId="19" state="hidden" r:id="rId18"/>
    <sheet name="20. NPT" sheetId="20" state="hidden" r:id="rId19"/>
    <sheet name="21. FSP" sheetId="21" state="hidden" r:id="rId20"/>
    <sheet name="22. PM HFC" sheetId="22" state="hidden" r:id="rId21"/>
    <sheet name="23. PWP" sheetId="23" state="hidden" r:id="rId22"/>
    <sheet name="25. BRPP" sheetId="24" state="hidden" r:id="rId23"/>
    <sheet name="26. FC" sheetId="26" state="hidden" r:id="rId24"/>
    <sheet name="27. Oriole" sheetId="27" state="hidden" r:id="rId25"/>
    <sheet name="33. Straits" sheetId="2" state="hidden" r:id="rId26"/>
    <sheet name="39. SMU" sheetId="28" state="hidden" r:id="rId27"/>
    <sheet name="41. BDH" sheetId="29" state="hidden" r:id="rId28"/>
    <sheet name="44. 7BL" sheetId="31" state="hidden" r:id="rId29"/>
    <sheet name="45. Westcom" sheetId="32" state="hidden" r:id="rId30"/>
    <sheet name="Example" sheetId="16" state="hidden" r:id="rId3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9" i="15" l="1"/>
  <c r="D31" i="32" l="1"/>
  <c r="J30" i="32"/>
  <c r="D30" i="32"/>
  <c r="J29" i="32"/>
  <c r="F16" i="32"/>
  <c r="E11" i="32"/>
  <c r="E10" i="32"/>
  <c r="F11" i="32" s="1"/>
  <c r="D10" i="32"/>
  <c r="D7" i="32"/>
  <c r="F22" i="32" s="1"/>
  <c r="D31" i="31"/>
  <c r="D32" i="31" s="1"/>
  <c r="J30" i="31"/>
  <c r="D30" i="31"/>
  <c r="J29" i="31"/>
  <c r="F16" i="31"/>
  <c r="E11" i="31"/>
  <c r="E10" i="31"/>
  <c r="D10" i="31"/>
  <c r="D7" i="31"/>
  <c r="F22" i="31" s="1"/>
  <c r="C29" i="31" l="1"/>
  <c r="C30" i="31" s="1"/>
  <c r="C31" i="31" s="1"/>
  <c r="C32" i="31" s="1"/>
  <c r="C33" i="31" s="1"/>
  <c r="C34" i="31" s="1"/>
  <c r="C35" i="31" s="1"/>
  <c r="C36" i="31" s="1"/>
  <c r="C37" i="31" s="1"/>
  <c r="C38" i="31" s="1"/>
  <c r="C39" i="31" s="1"/>
  <c r="C40" i="31" s="1"/>
  <c r="C41" i="31" s="1"/>
  <c r="C42" i="31" s="1"/>
  <c r="C43" i="31" s="1"/>
  <c r="C44" i="31" s="1"/>
  <c r="C45" i="31" s="1"/>
  <c r="C46" i="31" s="1"/>
  <c r="C47" i="31" s="1"/>
  <c r="C48" i="31" s="1"/>
  <c r="C49" i="31" s="1"/>
  <c r="C50" i="31" s="1"/>
  <c r="C51" i="31" s="1"/>
  <c r="C52" i="31" s="1"/>
  <c r="C53" i="31" s="1"/>
  <c r="C54" i="31" s="1"/>
  <c r="C55" i="31" s="1"/>
  <c r="C56" i="31" s="1"/>
  <c r="C57" i="31" s="1"/>
  <c r="C58" i="31" s="1"/>
  <c r="C59" i="31" s="1"/>
  <c r="C60" i="31" s="1"/>
  <c r="C61" i="31" s="1"/>
  <c r="C62" i="31" s="1"/>
  <c r="C63" i="31" s="1"/>
  <c r="C64" i="31" s="1"/>
  <c r="C29" i="32"/>
  <c r="C30" i="32" s="1"/>
  <c r="C31" i="32" s="1"/>
  <c r="C32" i="32" s="1"/>
  <c r="C33" i="32" s="1"/>
  <c r="C34" i="32" s="1"/>
  <c r="C35" i="32" s="1"/>
  <c r="C36" i="32" s="1"/>
  <c r="C37" i="32" s="1"/>
  <c r="C38" i="32" s="1"/>
  <c r="C39" i="32" s="1"/>
  <c r="C40" i="32" s="1"/>
  <c r="C41" i="32" s="1"/>
  <c r="C42" i="32" s="1"/>
  <c r="C43" i="32" s="1"/>
  <c r="C44" i="32" s="1"/>
  <c r="C45" i="32" s="1"/>
  <c r="C46" i="32" s="1"/>
  <c r="C47" i="32" s="1"/>
  <c r="C48" i="32" s="1"/>
  <c r="C49" i="32" s="1"/>
  <c r="C50" i="32" s="1"/>
  <c r="C51" i="32" s="1"/>
  <c r="C52" i="32" s="1"/>
  <c r="C53" i="32" s="1"/>
  <c r="C54" i="32" s="1"/>
  <c r="C55" i="32" s="1"/>
  <c r="C56" i="32" s="1"/>
  <c r="C57" i="32" s="1"/>
  <c r="C58" i="32" s="1"/>
  <c r="C59" i="32" s="1"/>
  <c r="C60" i="32" s="1"/>
  <c r="C61" i="32" s="1"/>
  <c r="C62" i="32" s="1"/>
  <c r="C63" i="32" s="1"/>
  <c r="C64" i="32" s="1"/>
  <c r="F13" i="32"/>
  <c r="F29" i="32"/>
  <c r="D32" i="32"/>
  <c r="J31" i="32"/>
  <c r="F10" i="32"/>
  <c r="F12" i="32" s="1"/>
  <c r="F17" i="32" s="1"/>
  <c r="F13" i="31"/>
  <c r="F29" i="31"/>
  <c r="O29" i="31" s="1"/>
  <c r="F11" i="31"/>
  <c r="D33" i="31"/>
  <c r="J32" i="31"/>
  <c r="F10" i="31"/>
  <c r="J31" i="31"/>
  <c r="C65" i="32" l="1"/>
  <c r="C66" i="32" s="1"/>
  <c r="C67" i="32" s="1"/>
  <c r="C68" i="32" s="1"/>
  <c r="C69" i="32" s="1"/>
  <c r="C70" i="32" s="1"/>
  <c r="C71" i="32" s="1"/>
  <c r="C72" i="32" s="1"/>
  <c r="C73" i="32" s="1"/>
  <c r="C74" i="32" s="1"/>
  <c r="C75" i="32" s="1"/>
  <c r="C76" i="32" s="1"/>
  <c r="C77" i="32" s="1"/>
  <c r="C78" i="32" s="1"/>
  <c r="C79" i="32" s="1"/>
  <c r="C80" i="32" s="1"/>
  <c r="C81" i="32" s="1"/>
  <c r="C82" i="32" s="1"/>
  <c r="C83" i="32" s="1"/>
  <c r="C84" i="32" s="1"/>
  <c r="C85" i="32" s="1"/>
  <c r="C86" i="32" s="1"/>
  <c r="C87" i="32" s="1"/>
  <c r="C88" i="32" s="1"/>
  <c r="C89" i="32" s="1"/>
  <c r="C90" i="32" s="1"/>
  <c r="C91" i="32" s="1"/>
  <c r="C92" i="32" s="1"/>
  <c r="C93" i="32" s="1"/>
  <c r="C94" i="32" s="1"/>
  <c r="C95" i="32" s="1"/>
  <c r="C96" i="32" s="1"/>
  <c r="C97" i="32" s="1"/>
  <c r="C98" i="32" s="1"/>
  <c r="C99" i="32" s="1"/>
  <c r="C100" i="32" s="1"/>
  <c r="C101" i="32" s="1"/>
  <c r="C102" i="32" s="1"/>
  <c r="C103" i="32" s="1"/>
  <c r="C104" i="32" s="1"/>
  <c r="C105" i="32" s="1"/>
  <c r="C106" i="32" s="1"/>
  <c r="C107" i="32" s="1"/>
  <c r="C65" i="31"/>
  <c r="C66" i="31" s="1"/>
  <c r="C67" i="31" s="1"/>
  <c r="C68" i="31" s="1"/>
  <c r="C69" i="31" s="1"/>
  <c r="C70" i="31" s="1"/>
  <c r="C71" i="31" s="1"/>
  <c r="C72" i="31" s="1"/>
  <c r="C73" i="31" s="1"/>
  <c r="C74" i="31" s="1"/>
  <c r="C75" i="31" s="1"/>
  <c r="C76" i="31" s="1"/>
  <c r="C77" i="31" s="1"/>
  <c r="C78" i="31" s="1"/>
  <c r="C79" i="31" s="1"/>
  <c r="C80" i="31" s="1"/>
  <c r="C81" i="31" s="1"/>
  <c r="C82" i="31" s="1"/>
  <c r="C83" i="31" s="1"/>
  <c r="C84" i="31" s="1"/>
  <c r="C85" i="31" s="1"/>
  <c r="C86" i="31" s="1"/>
  <c r="C87" i="31" s="1"/>
  <c r="C88" i="31" s="1"/>
  <c r="C89" i="31" s="1"/>
  <c r="C90" i="31" s="1"/>
  <c r="C91" i="31" s="1"/>
  <c r="C92" i="31" s="1"/>
  <c r="C93" i="31" s="1"/>
  <c r="C94" i="31" s="1"/>
  <c r="C95" i="31" s="1"/>
  <c r="C96" i="31" s="1"/>
  <c r="C97" i="31" s="1"/>
  <c r="C98" i="31" s="1"/>
  <c r="C99" i="31" s="1"/>
  <c r="C100" i="31" s="1"/>
  <c r="C101" i="31" s="1"/>
  <c r="C102" i="31" s="1"/>
  <c r="C103" i="31" s="1"/>
  <c r="C104" i="31" s="1"/>
  <c r="C105" i="31" s="1"/>
  <c r="C106" i="31" s="1"/>
  <c r="C107" i="31" s="1"/>
  <c r="F30" i="32"/>
  <c r="F31" i="32" s="1"/>
  <c r="F32" i="32" s="1"/>
  <c r="F33" i="32" s="1"/>
  <c r="F34" i="32" s="1"/>
  <c r="F35" i="32" s="1"/>
  <c r="F36" i="32" s="1"/>
  <c r="F37" i="32" s="1"/>
  <c r="F38" i="32" s="1"/>
  <c r="F39" i="32" s="1"/>
  <c r="O29" i="32"/>
  <c r="H22" i="32"/>
  <c r="D33" i="32"/>
  <c r="J32" i="32"/>
  <c r="F30" i="31"/>
  <c r="F12" i="31"/>
  <c r="F17" i="31" s="1"/>
  <c r="D34" i="31"/>
  <c r="J33" i="31"/>
  <c r="F31" i="31" l="1"/>
  <c r="F40" i="32"/>
  <c r="D34" i="32"/>
  <c r="J33" i="32"/>
  <c r="M22" i="32"/>
  <c r="E29" i="32"/>
  <c r="O30" i="32"/>
  <c r="O31" i="32" s="1"/>
  <c r="O32" i="32" s="1"/>
  <c r="O33" i="32" s="1"/>
  <c r="O34" i="32" s="1"/>
  <c r="O35" i="32" s="1"/>
  <c r="O36" i="32" s="1"/>
  <c r="O37" i="32" s="1"/>
  <c r="O38" i="32" s="1"/>
  <c r="O39" i="32" s="1"/>
  <c r="O40" i="32" s="1"/>
  <c r="H22" i="31"/>
  <c r="M22" i="31" s="1"/>
  <c r="O30" i="31"/>
  <c r="O31" i="31" s="1"/>
  <c r="D35" i="31"/>
  <c r="J34" i="31"/>
  <c r="F41" i="32" l="1"/>
  <c r="F32" i="31"/>
  <c r="L58" i="32"/>
  <c r="L50" i="32"/>
  <c r="L42" i="32"/>
  <c r="L34" i="32"/>
  <c r="L61" i="32"/>
  <c r="L53" i="32"/>
  <c r="L45" i="32"/>
  <c r="L37" i="32"/>
  <c r="L29" i="32"/>
  <c r="Q29" i="32" s="1"/>
  <c r="L64" i="32"/>
  <c r="L56" i="32"/>
  <c r="L48" i="32"/>
  <c r="L40" i="32"/>
  <c r="L32" i="32"/>
  <c r="K29" i="32"/>
  <c r="L41" i="32"/>
  <c r="L59" i="32"/>
  <c r="L51" i="32"/>
  <c r="L43" i="32"/>
  <c r="L35" i="32"/>
  <c r="L57" i="32"/>
  <c r="L62" i="32"/>
  <c r="L54" i="32"/>
  <c r="L46" i="32"/>
  <c r="L38" i="32"/>
  <c r="L30" i="32"/>
  <c r="L63" i="32"/>
  <c r="L55" i="32"/>
  <c r="L47" i="32"/>
  <c r="L39" i="32"/>
  <c r="L31" i="32"/>
  <c r="L49" i="32"/>
  <c r="L52" i="32"/>
  <c r="L36" i="32"/>
  <c r="L60" i="32"/>
  <c r="L44" i="32"/>
  <c r="L33" i="32"/>
  <c r="G29" i="32"/>
  <c r="D35" i="32"/>
  <c r="J34" i="32"/>
  <c r="E29" i="31"/>
  <c r="L58" i="31"/>
  <c r="L50" i="31"/>
  <c r="L42" i="31"/>
  <c r="L34" i="31"/>
  <c r="L61" i="31"/>
  <c r="L53" i="31"/>
  <c r="L45" i="31"/>
  <c r="L37" i="31"/>
  <c r="L29" i="31"/>
  <c r="L64" i="31"/>
  <c r="L56" i="31"/>
  <c r="L48" i="31"/>
  <c r="L40" i="31"/>
  <c r="L32" i="31"/>
  <c r="K29" i="31"/>
  <c r="L60" i="31"/>
  <c r="L59" i="31"/>
  <c r="L51" i="31"/>
  <c r="L43" i="31"/>
  <c r="L35" i="31"/>
  <c r="L44" i="31"/>
  <c r="L62" i="31"/>
  <c r="L54" i="31"/>
  <c r="L46" i="31"/>
  <c r="L38" i="31"/>
  <c r="L30" i="31"/>
  <c r="L57" i="31"/>
  <c r="L49" i="31"/>
  <c r="L41" i="31"/>
  <c r="L33" i="31"/>
  <c r="L52" i="31"/>
  <c r="L36" i="31"/>
  <c r="L63" i="31"/>
  <c r="L55" i="31"/>
  <c r="L47" i="31"/>
  <c r="L39" i="31"/>
  <c r="L31" i="31"/>
  <c r="D36" i="31"/>
  <c r="J35" i="31"/>
  <c r="G29" i="33" a="1"/>
  <c r="K30" i="33" a="1"/>
  <c r="K29" i="33" a="1"/>
  <c r="F29" i="33" a="1"/>
  <c r="F29" i="33" l="1"/>
  <c r="K29" i="33"/>
  <c r="K30" i="33"/>
  <c r="G29" i="33"/>
  <c r="F33" i="31"/>
  <c r="F42" i="32"/>
  <c r="F116" i="31"/>
  <c r="Q29" i="31"/>
  <c r="Q30" i="31" s="1"/>
  <c r="Q31" i="31" s="1"/>
  <c r="Q32" i="31" s="1"/>
  <c r="Q33" i="31" s="1"/>
  <c r="Q34" i="31" s="1"/>
  <c r="Q35" i="31" s="1"/>
  <c r="Q36" i="31" s="1"/>
  <c r="Q37" i="31" s="1"/>
  <c r="Q38" i="31" s="1"/>
  <c r="Q39" i="31" s="1"/>
  <c r="Q40" i="31" s="1"/>
  <c r="Q41" i="31" s="1"/>
  <c r="Q42" i="31" s="1"/>
  <c r="Q43" i="31" s="1"/>
  <c r="Q44" i="31" s="1"/>
  <c r="Q45" i="31" s="1"/>
  <c r="Q46" i="31" s="1"/>
  <c r="Q47" i="31" s="1"/>
  <c r="Q48" i="31" s="1"/>
  <c r="Q49" i="31" s="1"/>
  <c r="Q50" i="31" s="1"/>
  <c r="Q51" i="31" s="1"/>
  <c r="Q52" i="31" s="1"/>
  <c r="Q53" i="31" s="1"/>
  <c r="Q54" i="31" s="1"/>
  <c r="Q55" i="31" s="1"/>
  <c r="Q56" i="31" s="1"/>
  <c r="Q57" i="31" s="1"/>
  <c r="Q58" i="31" s="1"/>
  <c r="Q59" i="31" s="1"/>
  <c r="Q60" i="31" s="1"/>
  <c r="Q61" i="31" s="1"/>
  <c r="Q62" i="31" s="1"/>
  <c r="Q63" i="31" s="1"/>
  <c r="Q64" i="31" s="1"/>
  <c r="O32" i="31"/>
  <c r="O33" i="31" s="1"/>
  <c r="G29" i="31"/>
  <c r="H29" i="31" s="1"/>
  <c r="E30" i="31" s="1"/>
  <c r="O41" i="32"/>
  <c r="O42" i="32" s="1"/>
  <c r="M29" i="32"/>
  <c r="K30" i="32" s="1"/>
  <c r="M30" i="32" s="1"/>
  <c r="K31" i="32" s="1"/>
  <c r="M31" i="32" s="1"/>
  <c r="K32" i="32" s="1"/>
  <c r="M32" i="32" s="1"/>
  <c r="K33" i="32" s="1"/>
  <c r="M33" i="32" s="1"/>
  <c r="K34" i="32" s="1"/>
  <c r="M34" i="32" s="1"/>
  <c r="K35" i="32" s="1"/>
  <c r="M35" i="32" s="1"/>
  <c r="K36" i="32" s="1"/>
  <c r="M36" i="32" s="1"/>
  <c r="K37" i="32" s="1"/>
  <c r="M37" i="32" s="1"/>
  <c r="K38" i="32" s="1"/>
  <c r="M38" i="32" s="1"/>
  <c r="K39" i="32" s="1"/>
  <c r="Q30" i="32"/>
  <c r="Q31" i="32" s="1"/>
  <c r="Q32" i="32" s="1"/>
  <c r="Q33" i="32" s="1"/>
  <c r="Q34" i="32" s="1"/>
  <c r="Q35" i="32" s="1"/>
  <c r="Q36" i="32" s="1"/>
  <c r="Q37" i="32" s="1"/>
  <c r="Q38" i="32" s="1"/>
  <c r="Q39" i="32" s="1"/>
  <c r="Q40" i="32" s="1"/>
  <c r="Q41" i="32" s="1"/>
  <c r="Q42" i="32" s="1"/>
  <c r="Q43" i="32" s="1"/>
  <c r="Q44" i="32" s="1"/>
  <c r="Q45" i="32" s="1"/>
  <c r="Q46" i="32" s="1"/>
  <c r="Q47" i="32" s="1"/>
  <c r="Q48" i="32" s="1"/>
  <c r="Q49" i="32" s="1"/>
  <c r="Q50" i="32" s="1"/>
  <c r="Q51" i="32" s="1"/>
  <c r="Q52" i="32" s="1"/>
  <c r="Q53" i="32" s="1"/>
  <c r="Q54" i="32" s="1"/>
  <c r="Q55" i="32" s="1"/>
  <c r="Q56" i="32" s="1"/>
  <c r="Q57" i="32" s="1"/>
  <c r="Q58" i="32" s="1"/>
  <c r="Q59" i="32" s="1"/>
  <c r="Q60" i="32" s="1"/>
  <c r="Q61" i="32" s="1"/>
  <c r="Q62" i="32" s="1"/>
  <c r="Q63" i="32" s="1"/>
  <c r="Q64" i="32" s="1"/>
  <c r="J35" i="32"/>
  <c r="D36" i="32"/>
  <c r="P29" i="32"/>
  <c r="H29" i="32"/>
  <c r="E30" i="32" s="1"/>
  <c r="M29" i="31"/>
  <c r="K30" i="31" s="1"/>
  <c r="M30" i="31" s="1"/>
  <c r="K31" i="31" s="1"/>
  <c r="M31" i="31" s="1"/>
  <c r="K32" i="31" s="1"/>
  <c r="M32" i="31" s="1"/>
  <c r="K33" i="31" s="1"/>
  <c r="M33" i="31" s="1"/>
  <c r="K34" i="31" s="1"/>
  <c r="M34" i="31" s="1"/>
  <c r="K35" i="31" s="1"/>
  <c r="M35" i="31" s="1"/>
  <c r="K36" i="31" s="1"/>
  <c r="M36" i="31" s="1"/>
  <c r="K37" i="31" s="1"/>
  <c r="M37" i="31" s="1"/>
  <c r="K38" i="31" s="1"/>
  <c r="M38" i="31" s="1"/>
  <c r="K39" i="31" s="1"/>
  <c r="M39" i="31" s="1"/>
  <c r="K40" i="31" s="1"/>
  <c r="M40" i="31" s="1"/>
  <c r="D37" i="31"/>
  <c r="J36" i="31"/>
  <c r="F30" i="33" a="1"/>
  <c r="F30" i="33" l="1"/>
  <c r="F43" i="32"/>
  <c r="O43" i="32" s="1"/>
  <c r="K41" i="31"/>
  <c r="M41" i="31" s="1"/>
  <c r="K42" i="31" s="1"/>
  <c r="M42" i="31" s="1"/>
  <c r="K43" i="31" s="1"/>
  <c r="M43" i="31" s="1"/>
  <c r="K44" i="31" s="1"/>
  <c r="M44" i="31" s="1"/>
  <c r="K45" i="31" s="1"/>
  <c r="M45" i="31" s="1"/>
  <c r="K46" i="31" s="1"/>
  <c r="M46" i="31" s="1"/>
  <c r="K47" i="31" s="1"/>
  <c r="M47" i="31" s="1"/>
  <c r="K48" i="31" s="1"/>
  <c r="M48" i="31" s="1"/>
  <c r="K49" i="31" s="1"/>
  <c r="M49" i="31" s="1"/>
  <c r="K50" i="31" s="1"/>
  <c r="M50" i="31" s="1"/>
  <c r="K51" i="31" s="1"/>
  <c r="M51" i="31" s="1"/>
  <c r="K52" i="31" s="1"/>
  <c r="M52" i="31" s="1"/>
  <c r="K53" i="31" s="1"/>
  <c r="M53" i="31" s="1"/>
  <c r="K54" i="31" s="1"/>
  <c r="M54" i="31" s="1"/>
  <c r="K55" i="31" s="1"/>
  <c r="M55" i="31" s="1"/>
  <c r="K56" i="31" s="1"/>
  <c r="M56" i="31" s="1"/>
  <c r="K57" i="31" s="1"/>
  <c r="M57" i="31" s="1"/>
  <c r="K58" i="31" s="1"/>
  <c r="M58" i="31" s="1"/>
  <c r="K59" i="31" s="1"/>
  <c r="M59" i="31" s="1"/>
  <c r="K60" i="31" s="1"/>
  <c r="M60" i="31" s="1"/>
  <c r="K61" i="31" s="1"/>
  <c r="M61" i="31" s="1"/>
  <c r="K62" i="31" s="1"/>
  <c r="M62" i="31" s="1"/>
  <c r="K63" i="31" s="1"/>
  <c r="M63" i="31" s="1"/>
  <c r="K64" i="31" s="1"/>
  <c r="M64" i="31" s="1"/>
  <c r="G116" i="31"/>
  <c r="M39" i="32"/>
  <c r="K40" i="32" s="1"/>
  <c r="M40" i="32" s="1"/>
  <c r="K41" i="32" s="1"/>
  <c r="M41" i="32" s="1"/>
  <c r="K42" i="32" s="1"/>
  <c r="M42" i="32" s="1"/>
  <c r="K43" i="32" s="1"/>
  <c r="M43" i="32" s="1"/>
  <c r="K44" i="32" s="1"/>
  <c r="M44" i="32" s="1"/>
  <c r="K45" i="32" s="1"/>
  <c r="M45" i="32" s="1"/>
  <c r="K46" i="32" s="1"/>
  <c r="M46" i="32" s="1"/>
  <c r="K47" i="32" s="1"/>
  <c r="M47" i="32" s="1"/>
  <c r="K48" i="32" s="1"/>
  <c r="M48" i="32" s="1"/>
  <c r="K49" i="32" s="1"/>
  <c r="M49" i="32" s="1"/>
  <c r="K50" i="32" s="1"/>
  <c r="M50" i="32" s="1"/>
  <c r="F116" i="32"/>
  <c r="P29" i="31"/>
  <c r="F34" i="31"/>
  <c r="G30" i="32"/>
  <c r="D37" i="32"/>
  <c r="J36" i="32"/>
  <c r="D38" i="31"/>
  <c r="J37" i="31"/>
  <c r="G30" i="31"/>
  <c r="F44" i="32" l="1"/>
  <c r="O44" i="32" s="1"/>
  <c r="F35" i="31"/>
  <c r="K51" i="32"/>
  <c r="M51" i="32" s="1"/>
  <c r="K52" i="32" s="1"/>
  <c r="M52" i="32" s="1"/>
  <c r="K53" i="32" s="1"/>
  <c r="M53" i="32" s="1"/>
  <c r="K54" i="32" s="1"/>
  <c r="M54" i="32" s="1"/>
  <c r="K55" i="32" s="1"/>
  <c r="M55" i="32" s="1"/>
  <c r="K56" i="32" s="1"/>
  <c r="M56" i="32" s="1"/>
  <c r="K57" i="32" s="1"/>
  <c r="M57" i="32" s="1"/>
  <c r="K58" i="32" s="1"/>
  <c r="M58" i="32" s="1"/>
  <c r="K59" i="32" s="1"/>
  <c r="M59" i="32" s="1"/>
  <c r="K60" i="32" s="1"/>
  <c r="M60" i="32" s="1"/>
  <c r="K61" i="32" s="1"/>
  <c r="M61" i="32" s="1"/>
  <c r="K62" i="32" s="1"/>
  <c r="M62" i="32" s="1"/>
  <c r="K63" i="32" s="1"/>
  <c r="M63" i="32" s="1"/>
  <c r="K64" i="32" s="1"/>
  <c r="M64" i="32" s="1"/>
  <c r="G116" i="32"/>
  <c r="O34" i="31"/>
  <c r="H30" i="31"/>
  <c r="E31" i="31" s="1"/>
  <c r="G31" i="31" s="1"/>
  <c r="D38" i="32"/>
  <c r="J37" i="32"/>
  <c r="P30" i="32"/>
  <c r="H30" i="32"/>
  <c r="E31" i="32" s="1"/>
  <c r="P30" i="31"/>
  <c r="D39" i="31"/>
  <c r="J38" i="31"/>
  <c r="O35" i="31" l="1"/>
  <c r="H31" i="31"/>
  <c r="E32" i="31" s="1"/>
  <c r="G32" i="31" s="1"/>
  <c r="F36" i="31"/>
  <c r="F45" i="32"/>
  <c r="O45" i="32" s="1"/>
  <c r="G31" i="32"/>
  <c r="D39" i="32"/>
  <c r="J38" i="32"/>
  <c r="P31" i="31"/>
  <c r="D40" i="31"/>
  <c r="J39" i="31"/>
  <c r="F37" i="31" l="1"/>
  <c r="O36" i="31"/>
  <c r="O37" i="31" s="1"/>
  <c r="H32" i="31"/>
  <c r="E33" i="31" s="1"/>
  <c r="G33" i="31" s="1"/>
  <c r="F46" i="32"/>
  <c r="D40" i="32"/>
  <c r="J39" i="32"/>
  <c r="P31" i="32"/>
  <c r="H31" i="32"/>
  <c r="E32" i="32" s="1"/>
  <c r="D41" i="31"/>
  <c r="J40" i="31"/>
  <c r="P32" i="31"/>
  <c r="H33" i="31" l="1"/>
  <c r="E34" i="31" s="1"/>
  <c r="F47" i="32"/>
  <c r="F38" i="31"/>
  <c r="O46" i="32"/>
  <c r="O47" i="32" s="1"/>
  <c r="G32" i="32"/>
  <c r="P32" i="32" s="1"/>
  <c r="D41" i="32"/>
  <c r="J40" i="32"/>
  <c r="G34" i="31"/>
  <c r="P33" i="31"/>
  <c r="D42" i="31"/>
  <c r="J41" i="31"/>
  <c r="F48" i="32" l="1"/>
  <c r="F39" i="31"/>
  <c r="H32" i="32"/>
  <c r="E33" i="32" s="1"/>
  <c r="G33" i="32" s="1"/>
  <c r="P33" i="32" s="1"/>
  <c r="H34" i="31"/>
  <c r="E35" i="31" s="1"/>
  <c r="G35" i="31" s="1"/>
  <c r="O48" i="32"/>
  <c r="O38" i="31"/>
  <c r="O39" i="31" s="1"/>
  <c r="D42" i="32"/>
  <c r="J41" i="32"/>
  <c r="P34" i="31"/>
  <c r="D43" i="31"/>
  <c r="J42" i="31"/>
  <c r="P35" i="31" l="1"/>
  <c r="F40" i="31"/>
  <c r="F49" i="32"/>
  <c r="O49" i="32" s="1"/>
  <c r="D43" i="32"/>
  <c r="J42" i="32"/>
  <c r="H33" i="32"/>
  <c r="E34" i="32" s="1"/>
  <c r="H35" i="31"/>
  <c r="E36" i="31" s="1"/>
  <c r="D44" i="31"/>
  <c r="J43" i="31"/>
  <c r="I29" i="33" a="1"/>
  <c r="I29" i="33" l="1"/>
  <c r="F41" i="31"/>
  <c r="O40" i="31"/>
  <c r="F50" i="32"/>
  <c r="G34" i="32"/>
  <c r="P34" i="32" s="1"/>
  <c r="J43" i="32"/>
  <c r="D44" i="32"/>
  <c r="G36" i="31"/>
  <c r="D45" i="31"/>
  <c r="J44" i="31"/>
  <c r="I30" i="33" a="1"/>
  <c r="I30" i="33" l="1"/>
  <c r="F42" i="31"/>
  <c r="F51" i="32"/>
  <c r="O50" i="32"/>
  <c r="O51" i="32" s="1"/>
  <c r="P36" i="31"/>
  <c r="O41" i="31"/>
  <c r="O42" i="31" s="1"/>
  <c r="D45" i="32"/>
  <c r="J44" i="32"/>
  <c r="H34" i="32"/>
  <c r="E35" i="32" s="1"/>
  <c r="H36" i="31"/>
  <c r="E37" i="31" s="1"/>
  <c r="D46" i="31"/>
  <c r="J45" i="31"/>
  <c r="F52" i="32" l="1"/>
  <c r="F43" i="31"/>
  <c r="D46" i="32"/>
  <c r="J45" i="32"/>
  <c r="G35" i="32"/>
  <c r="P35" i="32" s="1"/>
  <c r="H35" i="32"/>
  <c r="E36" i="32" s="1"/>
  <c r="G37" i="31"/>
  <c r="J46" i="31"/>
  <c r="D47" i="31"/>
  <c r="F44" i="31" l="1"/>
  <c r="O43" i="31"/>
  <c r="O44" i="31" s="1"/>
  <c r="F53" i="32"/>
  <c r="P37" i="31"/>
  <c r="O52" i="32"/>
  <c r="G36" i="32"/>
  <c r="H36" i="32" s="1"/>
  <c r="E37" i="32" s="1"/>
  <c r="P36" i="32"/>
  <c r="J46" i="32"/>
  <c r="D47" i="32"/>
  <c r="D48" i="31"/>
  <c r="J47" i="31"/>
  <c r="H37" i="31"/>
  <c r="E38" i="31" s="1"/>
  <c r="F54" i="32" l="1"/>
  <c r="O53" i="32"/>
  <c r="O54" i="32" s="1"/>
  <c r="F45" i="31"/>
  <c r="D48" i="32"/>
  <c r="J47" i="32"/>
  <c r="G37" i="32"/>
  <c r="P37" i="32" s="1"/>
  <c r="D49" i="31"/>
  <c r="J48" i="31"/>
  <c r="G38" i="31"/>
  <c r="F46" i="31" l="1"/>
  <c r="P38" i="31"/>
  <c r="O45" i="31"/>
  <c r="O46" i="31" s="1"/>
  <c r="O55" i="32"/>
  <c r="F55" i="32"/>
  <c r="H37" i="32"/>
  <c r="E38" i="32" s="1"/>
  <c r="D49" i="32"/>
  <c r="J48" i="32"/>
  <c r="H38" i="31"/>
  <c r="E39" i="31" s="1"/>
  <c r="D50" i="31"/>
  <c r="J49" i="31"/>
  <c r="F56" i="32" l="1"/>
  <c r="F47" i="31"/>
  <c r="D50" i="32"/>
  <c r="J49" i="32"/>
  <c r="G38" i="32"/>
  <c r="P38" i="32" s="1"/>
  <c r="H38" i="32"/>
  <c r="E39" i="32" s="1"/>
  <c r="D51" i="31"/>
  <c r="J50" i="31"/>
  <c r="G39" i="31"/>
  <c r="G30" i="33" a="1"/>
  <c r="G30" i="33" l="1"/>
  <c r="F48" i="31"/>
  <c r="P39" i="31"/>
  <c r="F57" i="32"/>
  <c r="O56" i="32"/>
  <c r="O47" i="31"/>
  <c r="O48" i="31" s="1"/>
  <c r="G39" i="32"/>
  <c r="P39" i="32"/>
  <c r="D51" i="32"/>
  <c r="J50" i="32"/>
  <c r="H39" i="31"/>
  <c r="E40" i="31" s="1"/>
  <c r="D52" i="31"/>
  <c r="J51" i="31"/>
  <c r="F49" i="31" l="1"/>
  <c r="F58" i="32"/>
  <c r="H39" i="32"/>
  <c r="E40" i="32" s="1"/>
  <c r="O57" i="32"/>
  <c r="O58" i="32" s="1"/>
  <c r="D52" i="32"/>
  <c r="J51" i="32"/>
  <c r="G40" i="32"/>
  <c r="G40" i="31"/>
  <c r="D53" i="31"/>
  <c r="J52" i="31"/>
  <c r="H29" i="33" a="1"/>
  <c r="J29" i="33" a="1"/>
  <c r="F119" i="31"/>
  <c r="J29" i="33" l="1"/>
  <c r="H29" i="33"/>
  <c r="P40" i="32"/>
  <c r="F59" i="32"/>
  <c r="O59" i="32" s="1"/>
  <c r="F50" i="31"/>
  <c r="P40" i="31"/>
  <c r="O49" i="31"/>
  <c r="H40" i="32"/>
  <c r="E41" i="32" s="1"/>
  <c r="D53" i="32"/>
  <c r="J52" i="32"/>
  <c r="D54" i="31"/>
  <c r="J53" i="31"/>
  <c r="H40" i="31"/>
  <c r="E41" i="31" s="1"/>
  <c r="O50" i="31" l="1"/>
  <c r="F60" i="32"/>
  <c r="F51" i="31"/>
  <c r="D54" i="32"/>
  <c r="J53" i="32"/>
  <c r="G41" i="32"/>
  <c r="G41" i="31"/>
  <c r="D55" i="31"/>
  <c r="J54" i="31"/>
  <c r="O51" i="31" l="1"/>
  <c r="P41" i="32"/>
  <c r="P41" i="31"/>
  <c r="F52" i="31"/>
  <c r="F61" i="32"/>
  <c r="O60" i="32"/>
  <c r="O61" i="32" s="1"/>
  <c r="D55" i="32"/>
  <c r="J54" i="32"/>
  <c r="H41" i="32"/>
  <c r="E42" i="32" s="1"/>
  <c r="D56" i="31"/>
  <c r="J55" i="31"/>
  <c r="H41" i="31"/>
  <c r="E42" i="31" s="1"/>
  <c r="G129" i="31"/>
  <c r="F53" i="31" l="1"/>
  <c r="F62" i="32"/>
  <c r="O52" i="31"/>
  <c r="G42" i="32"/>
  <c r="D56" i="32"/>
  <c r="J55" i="32"/>
  <c r="G42" i="31"/>
  <c r="D57" i="31"/>
  <c r="J56" i="31"/>
  <c r="G129" i="32"/>
  <c r="O53" i="31" l="1"/>
  <c r="F63" i="32"/>
  <c r="P42" i="31"/>
  <c r="F54" i="31"/>
  <c r="O54" i="31"/>
  <c r="P42" i="32"/>
  <c r="O62" i="32"/>
  <c r="D57" i="32"/>
  <c r="J56" i="32"/>
  <c r="H42" i="32"/>
  <c r="E43" i="32" s="1"/>
  <c r="D58" i="31"/>
  <c r="J57" i="31"/>
  <c r="H42" i="31"/>
  <c r="E43" i="31" s="1"/>
  <c r="O63" i="32" l="1"/>
  <c r="F64" i="32"/>
  <c r="F55" i="31"/>
  <c r="G43" i="32"/>
  <c r="D58" i="32"/>
  <c r="J57" i="32"/>
  <c r="G43" i="31"/>
  <c r="D59" i="31"/>
  <c r="J58" i="31"/>
  <c r="G130" i="32"/>
  <c r="F110" i="32" l="1"/>
  <c r="P43" i="32"/>
  <c r="O64" i="32"/>
  <c r="P43" i="31"/>
  <c r="F56" i="31"/>
  <c r="O55" i="31"/>
  <c r="O56" i="31" s="1"/>
  <c r="H43" i="32"/>
  <c r="E44" i="32" s="1"/>
  <c r="G44" i="32" s="1"/>
  <c r="D59" i="32"/>
  <c r="J58" i="32"/>
  <c r="H43" i="31"/>
  <c r="E44" i="31" s="1"/>
  <c r="G44" i="31" s="1"/>
  <c r="D60" i="31"/>
  <c r="J59" i="31"/>
  <c r="F57" i="31" l="1"/>
  <c r="H44" i="32"/>
  <c r="E45" i="32" s="1"/>
  <c r="G45" i="32" s="1"/>
  <c r="P44" i="32"/>
  <c r="J59" i="32"/>
  <c r="D60" i="32"/>
  <c r="H44" i="31"/>
  <c r="E45" i="31" s="1"/>
  <c r="G45" i="31" s="1"/>
  <c r="P44" i="31"/>
  <c r="D61" i="31"/>
  <c r="J60" i="31"/>
  <c r="F58" i="31" l="1"/>
  <c r="H45" i="31"/>
  <c r="E46" i="31" s="1"/>
  <c r="G46" i="31" s="1"/>
  <c r="H45" i="32"/>
  <c r="E46" i="32" s="1"/>
  <c r="G46" i="32" s="1"/>
  <c r="O57" i="31"/>
  <c r="P45" i="32"/>
  <c r="D61" i="32"/>
  <c r="J60" i="32"/>
  <c r="D62" i="31"/>
  <c r="J61" i="31"/>
  <c r="P45" i="31"/>
  <c r="P46" i="32" l="1"/>
  <c r="H46" i="31"/>
  <c r="E47" i="31" s="1"/>
  <c r="G47" i="31" s="1"/>
  <c r="F59" i="31"/>
  <c r="O58" i="31"/>
  <c r="O59" i="31" s="1"/>
  <c r="H46" i="32"/>
  <c r="E47" i="32" s="1"/>
  <c r="G47" i="32" s="1"/>
  <c r="D62" i="32"/>
  <c r="J61" i="32"/>
  <c r="P46" i="31"/>
  <c r="D63" i="31"/>
  <c r="J62" i="31"/>
  <c r="H47" i="32" l="1"/>
  <c r="E48" i="32" s="1"/>
  <c r="P47" i="32"/>
  <c r="P48" i="32" s="1"/>
  <c r="H47" i="31"/>
  <c r="E48" i="31" s="1"/>
  <c r="F60" i="31"/>
  <c r="O60" i="31" s="1"/>
  <c r="G48" i="32"/>
  <c r="J62" i="32"/>
  <c r="D63" i="32"/>
  <c r="G48" i="31"/>
  <c r="P47" i="31"/>
  <c r="D64" i="31"/>
  <c r="J64" i="31" s="1"/>
  <c r="J63" i="31"/>
  <c r="H48" i="31" l="1"/>
  <c r="E49" i="31" s="1"/>
  <c r="G49" i="31" s="1"/>
  <c r="H48" i="32"/>
  <c r="E49" i="32" s="1"/>
  <c r="G49" i="32" s="1"/>
  <c r="F61" i="31"/>
  <c r="O61" i="31" s="1"/>
  <c r="D64" i="32"/>
  <c r="J64" i="32" s="1"/>
  <c r="J63" i="32"/>
  <c r="P48" i="31"/>
  <c r="H49" i="32" l="1"/>
  <c r="E50" i="32" s="1"/>
  <c r="F62" i="31"/>
  <c r="H49" i="31"/>
  <c r="E50" i="31" s="1"/>
  <c r="G50" i="31" s="1"/>
  <c r="P49" i="32"/>
  <c r="P50" i="32" s="1"/>
  <c r="G50" i="32"/>
  <c r="P49" i="31"/>
  <c r="J30" i="33" a="1"/>
  <c r="H30" i="33" a="1"/>
  <c r="F119" i="32"/>
  <c r="H30" i="33" l="1"/>
  <c r="J30" i="33"/>
  <c r="H50" i="31"/>
  <c r="E51" i="31" s="1"/>
  <c r="F63" i="31"/>
  <c r="H50" i="32"/>
  <c r="E51" i="32" s="1"/>
  <c r="O62" i="31"/>
  <c r="G51" i="32"/>
  <c r="P51" i="32" s="1"/>
  <c r="P50" i="31"/>
  <c r="G51" i="31"/>
  <c r="O63" i="31" l="1"/>
  <c r="H51" i="32"/>
  <c r="E52" i="32" s="1"/>
  <c r="G52" i="32" s="1"/>
  <c r="P52" i="32" s="1"/>
  <c r="H51" i="31"/>
  <c r="E52" i="31" s="1"/>
  <c r="G52" i="31" s="1"/>
  <c r="F64" i="31"/>
  <c r="O64" i="31" s="1"/>
  <c r="P51" i="31"/>
  <c r="G130" i="31"/>
  <c r="G119" i="31"/>
  <c r="H52" i="31" l="1"/>
  <c r="E53" i="31" s="1"/>
  <c r="H52" i="32"/>
  <c r="E53" i="32" s="1"/>
  <c r="G53" i="32" s="1"/>
  <c r="F110" i="31"/>
  <c r="P52" i="31"/>
  <c r="G53" i="31"/>
  <c r="H53" i="32" l="1"/>
  <c r="E54" i="32" s="1"/>
  <c r="H53" i="31"/>
  <c r="E54" i="31" s="1"/>
  <c r="G54" i="31" s="1"/>
  <c r="P53" i="32"/>
  <c r="P53" i="31"/>
  <c r="P54" i="31" l="1"/>
  <c r="H54" i="31"/>
  <c r="E55" i="31" s="1"/>
  <c r="G55" i="31" s="1"/>
  <c r="G54" i="32"/>
  <c r="H54" i="32" s="1"/>
  <c r="E55" i="32" s="1"/>
  <c r="G55" i="32" s="1"/>
  <c r="P55" i="31" l="1"/>
  <c r="P54" i="32"/>
  <c r="P55" i="32" s="1"/>
  <c r="H55" i="32"/>
  <c r="E56" i="32" s="1"/>
  <c r="H55" i="31"/>
  <c r="E56" i="31" s="1"/>
  <c r="G56" i="32" l="1"/>
  <c r="G56" i="31"/>
  <c r="H56" i="31"/>
  <c r="E57" i="31" s="1"/>
  <c r="P56" i="32" l="1"/>
  <c r="P56" i="31"/>
  <c r="H56" i="32"/>
  <c r="E57" i="32" s="1"/>
  <c r="G57" i="31"/>
  <c r="H57" i="31" l="1"/>
  <c r="E58" i="31" s="1"/>
  <c r="G57" i="32"/>
  <c r="P57" i="31"/>
  <c r="G58" i="31"/>
  <c r="P57" i="32" l="1"/>
  <c r="H58" i="31"/>
  <c r="E59" i="31" s="1"/>
  <c r="G59" i="31" s="1"/>
  <c r="H57" i="32"/>
  <c r="E58" i="32" s="1"/>
  <c r="P58" i="31"/>
  <c r="H59" i="31" l="1"/>
  <c r="E60" i="31" s="1"/>
  <c r="G58" i="32"/>
  <c r="P59" i="31"/>
  <c r="G60" i="31"/>
  <c r="H60" i="31" l="1"/>
  <c r="E61" i="31" s="1"/>
  <c r="P58" i="32"/>
  <c r="H58" i="32"/>
  <c r="E59" i="32" s="1"/>
  <c r="P60" i="31"/>
  <c r="G61" i="31"/>
  <c r="H61" i="31" l="1"/>
  <c r="E62" i="31" s="1"/>
  <c r="G59" i="32"/>
  <c r="H59" i="32"/>
  <c r="E60" i="32" s="1"/>
  <c r="G62" i="31"/>
  <c r="P61" i="31"/>
  <c r="P62" i="31" l="1"/>
  <c r="P59" i="32"/>
  <c r="P60" i="32" s="1"/>
  <c r="H62" i="31"/>
  <c r="E63" i="31" s="1"/>
  <c r="G63" i="31" s="1"/>
  <c r="G60" i="32"/>
  <c r="H63" i="31" l="1"/>
  <c r="E64" i="31" s="1"/>
  <c r="H60" i="32"/>
  <c r="E61" i="32" s="1"/>
  <c r="G61" i="32" s="1"/>
  <c r="H61" i="32" s="1"/>
  <c r="E62" i="32" s="1"/>
  <c r="P63" i="31"/>
  <c r="G64" i="31"/>
  <c r="G123" i="31"/>
  <c r="F123" i="31" l="1"/>
  <c r="G110" i="31"/>
  <c r="E110" i="31" s="1"/>
  <c r="P61" i="32"/>
  <c r="G62" i="32"/>
  <c r="H62" i="32" s="1"/>
  <c r="E63" i="32" s="1"/>
  <c r="P64" i="31"/>
  <c r="H64" i="31"/>
  <c r="G119" i="32"/>
  <c r="P62" i="32" l="1"/>
  <c r="G63" i="32"/>
  <c r="H63" i="32" l="1"/>
  <c r="E64" i="32" s="1"/>
  <c r="G64" i="32" s="1"/>
  <c r="P63" i="32"/>
  <c r="P64" i="32" s="1"/>
  <c r="G123" i="32"/>
  <c r="F123" i="32" l="1"/>
  <c r="G110" i="32"/>
  <c r="E110" i="32" s="1"/>
  <c r="H64" i="32"/>
  <c r="A55" i="29" l="1"/>
  <c r="A56" i="29"/>
  <c r="A57" i="29" s="1"/>
  <c r="A54" i="29"/>
  <c r="A53" i="29"/>
  <c r="A43" i="29"/>
  <c r="A44" i="29" s="1"/>
  <c r="A42" i="29"/>
  <c r="A41" i="29"/>
  <c r="F55" i="29"/>
  <c r="F54" i="29"/>
  <c r="F41" i="29"/>
  <c r="F40" i="29"/>
  <c r="F39" i="29"/>
  <c r="F38" i="29"/>
  <c r="F36" i="29"/>
  <c r="F33" i="29"/>
  <c r="F32" i="29"/>
  <c r="F31" i="29"/>
  <c r="F30" i="29"/>
  <c r="D30" i="29"/>
  <c r="D31" i="29" s="1"/>
  <c r="J29" i="29"/>
  <c r="F29" i="29"/>
  <c r="F16" i="29"/>
  <c r="E11" i="29"/>
  <c r="E10" i="29"/>
  <c r="D10" i="29"/>
  <c r="D7" i="29"/>
  <c r="F22" i="29" s="1"/>
  <c r="A54" i="28"/>
  <c r="F54" i="28" s="1"/>
  <c r="A55" i="28"/>
  <c r="A56" i="28"/>
  <c r="A57" i="28"/>
  <c r="A58" i="28"/>
  <c r="F58" i="28" s="1"/>
  <c r="A59" i="28"/>
  <c r="A60" i="28"/>
  <c r="A61" i="28"/>
  <c r="A62" i="28"/>
  <c r="F62" i="28" s="1"/>
  <c r="A63" i="28"/>
  <c r="A64" i="28"/>
  <c r="A53" i="28"/>
  <c r="F53" i="28" s="1"/>
  <c r="A42" i="28"/>
  <c r="A43" i="28"/>
  <c r="F43" i="28" s="1"/>
  <c r="A44" i="28"/>
  <c r="A45" i="28"/>
  <c r="A46" i="28"/>
  <c r="A47" i="28"/>
  <c r="A48" i="28"/>
  <c r="F48" i="28" s="1"/>
  <c r="A49" i="28"/>
  <c r="A50" i="28"/>
  <c r="A51" i="28"/>
  <c r="F51" i="28" s="1"/>
  <c r="A52" i="28"/>
  <c r="A41" i="28"/>
  <c r="F41" i="28" s="1"/>
  <c r="A30" i="28"/>
  <c r="A31" i="28"/>
  <c r="A32" i="28"/>
  <c r="A33" i="28"/>
  <c r="A34" i="28"/>
  <c r="A35" i="28"/>
  <c r="F35" i="28" s="1"/>
  <c r="A36" i="28"/>
  <c r="F36" i="28" s="1"/>
  <c r="A37" i="28"/>
  <c r="A38" i="28"/>
  <c r="A39" i="28"/>
  <c r="A40" i="28"/>
  <c r="A29" i="28"/>
  <c r="F29" i="28" s="1"/>
  <c r="F64" i="28"/>
  <c r="F63" i="28"/>
  <c r="F61" i="28"/>
  <c r="F60" i="28"/>
  <c r="F59" i="28"/>
  <c r="F57" i="28"/>
  <c r="F56" i="28"/>
  <c r="F55" i="28"/>
  <c r="F52" i="28"/>
  <c r="F50" i="28"/>
  <c r="F49" i="28"/>
  <c r="F47" i="28"/>
  <c r="F46" i="28"/>
  <c r="F45" i="28"/>
  <c r="F44" i="28"/>
  <c r="F42" i="28"/>
  <c r="F40" i="28"/>
  <c r="F39" i="28"/>
  <c r="F38" i="28"/>
  <c r="F37" i="28"/>
  <c r="F34" i="28"/>
  <c r="F33" i="28"/>
  <c r="F32" i="28"/>
  <c r="F31" i="28"/>
  <c r="D31" i="28"/>
  <c r="D32" i="28" s="1"/>
  <c r="F30" i="28"/>
  <c r="D30" i="28"/>
  <c r="J30" i="28" s="1"/>
  <c r="J29" i="28"/>
  <c r="F16" i="28"/>
  <c r="E11" i="28"/>
  <c r="E10" i="28"/>
  <c r="D10" i="28"/>
  <c r="D7" i="28"/>
  <c r="F22" i="28" s="1"/>
  <c r="D31" i="27"/>
  <c r="D32" i="27" s="1"/>
  <c r="J30" i="27"/>
  <c r="D30" i="27"/>
  <c r="J29" i="27"/>
  <c r="F16" i="27"/>
  <c r="E11" i="27"/>
  <c r="E10" i="27"/>
  <c r="D10" i="27"/>
  <c r="D7" i="27"/>
  <c r="F22" i="27" s="1"/>
  <c r="F64" i="26"/>
  <c r="F63" i="26"/>
  <c r="F62" i="26"/>
  <c r="F61" i="26"/>
  <c r="F60" i="26"/>
  <c r="F59" i="26"/>
  <c r="F58" i="26"/>
  <c r="F57" i="26"/>
  <c r="F56" i="26"/>
  <c r="F55" i="26"/>
  <c r="F54" i="26"/>
  <c r="F53" i="26"/>
  <c r="F52" i="26"/>
  <c r="F51" i="26"/>
  <c r="F50" i="26"/>
  <c r="F49" i="26"/>
  <c r="F48" i="26"/>
  <c r="F47" i="26"/>
  <c r="F46" i="26"/>
  <c r="F45" i="26"/>
  <c r="F44" i="26"/>
  <c r="F43" i="26"/>
  <c r="F42" i="26"/>
  <c r="F41" i="26"/>
  <c r="F40" i="26"/>
  <c r="F39" i="26"/>
  <c r="F38" i="26"/>
  <c r="F37" i="26"/>
  <c r="F36" i="26"/>
  <c r="F35" i="26"/>
  <c r="F34" i="26"/>
  <c r="F33" i="26"/>
  <c r="F32" i="26"/>
  <c r="F31" i="26"/>
  <c r="F30" i="26"/>
  <c r="D30" i="26"/>
  <c r="J30" i="26" s="1"/>
  <c r="J29" i="26"/>
  <c r="F29" i="26"/>
  <c r="F16" i="26"/>
  <c r="E11" i="26"/>
  <c r="E10" i="26"/>
  <c r="D10" i="26"/>
  <c r="D7" i="26"/>
  <c r="F22" i="26" s="1"/>
  <c r="J53" i="24"/>
  <c r="J54" i="24"/>
  <c r="J55" i="24"/>
  <c r="J56" i="24"/>
  <c r="J57" i="24"/>
  <c r="J58" i="24"/>
  <c r="J59" i="24"/>
  <c r="J60" i="24"/>
  <c r="J61" i="24"/>
  <c r="J62" i="24"/>
  <c r="J63" i="24"/>
  <c r="J64" i="24"/>
  <c r="D62" i="24"/>
  <c r="D63" i="24" s="1"/>
  <c r="D64" i="24" s="1"/>
  <c r="D53" i="24"/>
  <c r="D54" i="24"/>
  <c r="D55" i="24" s="1"/>
  <c r="D56" i="24" s="1"/>
  <c r="D57" i="24" s="1"/>
  <c r="D58" i="24" s="1"/>
  <c r="D59" i="24" s="1"/>
  <c r="D60" i="24" s="1"/>
  <c r="D61" i="24" s="1"/>
  <c r="D30" i="24"/>
  <c r="D31" i="24" s="1"/>
  <c r="J29" i="24"/>
  <c r="F16" i="24"/>
  <c r="E11" i="24"/>
  <c r="E10" i="24"/>
  <c r="D10" i="24"/>
  <c r="D7" i="24"/>
  <c r="F22" i="24" s="1"/>
  <c r="F64" i="23"/>
  <c r="F63" i="23"/>
  <c r="F62" i="23"/>
  <c r="F61" i="23"/>
  <c r="F60" i="23"/>
  <c r="F59" i="23"/>
  <c r="F58" i="23"/>
  <c r="F57" i="23"/>
  <c r="F56" i="23"/>
  <c r="F55" i="23"/>
  <c r="F54" i="23"/>
  <c r="F53" i="23"/>
  <c r="F52" i="23"/>
  <c r="F51" i="23"/>
  <c r="F50" i="23"/>
  <c r="F49" i="23"/>
  <c r="F48" i="23"/>
  <c r="F47" i="23"/>
  <c r="F46" i="23"/>
  <c r="F45" i="23"/>
  <c r="F44" i="23"/>
  <c r="F43" i="23"/>
  <c r="F42" i="23"/>
  <c r="F41" i="23"/>
  <c r="F40" i="23"/>
  <c r="F39" i="23"/>
  <c r="F38" i="23"/>
  <c r="F37" i="23"/>
  <c r="F36" i="23"/>
  <c r="F35" i="23"/>
  <c r="F34" i="23"/>
  <c r="F33" i="23"/>
  <c r="F32" i="23"/>
  <c r="F31" i="23"/>
  <c r="D31" i="23"/>
  <c r="D32" i="23" s="1"/>
  <c r="F30" i="23"/>
  <c r="D30" i="23"/>
  <c r="J30" i="23" s="1"/>
  <c r="J29" i="23"/>
  <c r="F29" i="23"/>
  <c r="F16" i="23"/>
  <c r="E11" i="23"/>
  <c r="E10" i="23"/>
  <c r="D10" i="23"/>
  <c r="D7" i="23"/>
  <c r="F22" i="23" s="1"/>
  <c r="F64" i="22"/>
  <c r="F60" i="22"/>
  <c r="F58" i="22"/>
  <c r="F57" i="22"/>
  <c r="F56" i="22"/>
  <c r="F52" i="22"/>
  <c r="F50" i="22"/>
  <c r="F49" i="22"/>
  <c r="F48" i="22"/>
  <c r="F44" i="22"/>
  <c r="F42" i="22"/>
  <c r="F41" i="22"/>
  <c r="F40" i="22"/>
  <c r="F36" i="22"/>
  <c r="F34" i="22"/>
  <c r="F33" i="22"/>
  <c r="F32" i="22"/>
  <c r="D30" i="22"/>
  <c r="J29" i="22"/>
  <c r="F29" i="22"/>
  <c r="F16" i="22"/>
  <c r="E11" i="22"/>
  <c r="E10" i="22"/>
  <c r="D10" i="22"/>
  <c r="D7" i="22"/>
  <c r="F22" i="22" s="1"/>
  <c r="A54" i="21"/>
  <c r="A55" i="21"/>
  <c r="A56" i="21"/>
  <c r="A57" i="21"/>
  <c r="F57" i="21" s="1"/>
  <c r="A58" i="21"/>
  <c r="A59" i="21"/>
  <c r="F59" i="21" s="1"/>
  <c r="A60" i="21"/>
  <c r="F60" i="21" s="1"/>
  <c r="A61" i="21"/>
  <c r="F61" i="21" s="1"/>
  <c r="A62" i="21"/>
  <c r="A63" i="21"/>
  <c r="A64" i="21"/>
  <c r="A53" i="21"/>
  <c r="F53" i="21"/>
  <c r="A42" i="21"/>
  <c r="A43" i="21"/>
  <c r="F43" i="21" s="1"/>
  <c r="A44" i="21"/>
  <c r="F44" i="21" s="1"/>
  <c r="A45" i="21"/>
  <c r="A46" i="21"/>
  <c r="A47" i="21"/>
  <c r="A48" i="21"/>
  <c r="F48" i="21" s="1"/>
  <c r="A49" i="21"/>
  <c r="A50" i="21"/>
  <c r="A51" i="21"/>
  <c r="F51" i="21" s="1"/>
  <c r="A52" i="21"/>
  <c r="F52" i="21" s="1"/>
  <c r="A41" i="21"/>
  <c r="A30" i="21"/>
  <c r="F30" i="21" s="1"/>
  <c r="A31" i="21"/>
  <c r="F31" i="21" s="1"/>
  <c r="A32" i="21"/>
  <c r="F32" i="21" s="1"/>
  <c r="A33" i="21"/>
  <c r="A34" i="21"/>
  <c r="A35" i="21"/>
  <c r="A36" i="21"/>
  <c r="A37" i="21"/>
  <c r="A38" i="21"/>
  <c r="F38" i="21" s="1"/>
  <c r="A39" i="21"/>
  <c r="F39" i="21" s="1"/>
  <c r="A40" i="21"/>
  <c r="F40" i="21" s="1"/>
  <c r="A29" i="21"/>
  <c r="F64" i="21"/>
  <c r="F63" i="21"/>
  <c r="F62" i="21"/>
  <c r="F58" i="21"/>
  <c r="F56" i="21"/>
  <c r="F55" i="21"/>
  <c r="F54" i="21"/>
  <c r="F50" i="21"/>
  <c r="F49" i="21"/>
  <c r="F47" i="21"/>
  <c r="F46" i="21"/>
  <c r="F45" i="21"/>
  <c r="F42" i="21"/>
  <c r="F41" i="21"/>
  <c r="F37" i="21"/>
  <c r="F36" i="21"/>
  <c r="F35" i="21"/>
  <c r="F34" i="21"/>
  <c r="F33" i="21"/>
  <c r="D31" i="21"/>
  <c r="D30" i="21"/>
  <c r="J30" i="21" s="1"/>
  <c r="J29" i="21"/>
  <c r="F29" i="21"/>
  <c r="F16" i="21"/>
  <c r="E11" i="21"/>
  <c r="E10" i="21"/>
  <c r="D10" i="21"/>
  <c r="D7" i="21"/>
  <c r="F22" i="21" s="1"/>
  <c r="F64" i="20"/>
  <c r="F63" i="20"/>
  <c r="F62" i="20"/>
  <c r="F61" i="20"/>
  <c r="F60" i="20"/>
  <c r="F59" i="20"/>
  <c r="F58" i="20"/>
  <c r="F57" i="20"/>
  <c r="F56" i="20"/>
  <c r="F55" i="20"/>
  <c r="F54" i="20"/>
  <c r="F53" i="20"/>
  <c r="F52" i="20"/>
  <c r="F51" i="20"/>
  <c r="F50" i="20"/>
  <c r="F49" i="20"/>
  <c r="F48" i="20"/>
  <c r="F47" i="20"/>
  <c r="F46" i="20"/>
  <c r="F45" i="20"/>
  <c r="F44" i="20"/>
  <c r="F43" i="20"/>
  <c r="F42" i="20"/>
  <c r="F41" i="20"/>
  <c r="F40" i="20"/>
  <c r="F39" i="20"/>
  <c r="F38" i="20"/>
  <c r="F37" i="20"/>
  <c r="F36" i="20"/>
  <c r="F35" i="20"/>
  <c r="F34" i="20"/>
  <c r="F33" i="20"/>
  <c r="F32" i="20"/>
  <c r="F31" i="20"/>
  <c r="F30" i="20"/>
  <c r="D30" i="20"/>
  <c r="J30" i="20" s="1"/>
  <c r="J29" i="20"/>
  <c r="F29" i="20"/>
  <c r="F16" i="20"/>
  <c r="E11" i="20"/>
  <c r="E10" i="20"/>
  <c r="D10" i="20"/>
  <c r="D7" i="20"/>
  <c r="F22" i="20" s="1"/>
  <c r="F64" i="19"/>
  <c r="F63" i="19"/>
  <c r="F62" i="19"/>
  <c r="F61" i="19"/>
  <c r="F60" i="19"/>
  <c r="F59" i="19"/>
  <c r="F58" i="19"/>
  <c r="F57" i="19"/>
  <c r="F56" i="19"/>
  <c r="F55" i="19"/>
  <c r="F54" i="19"/>
  <c r="F53" i="19"/>
  <c r="F52" i="19"/>
  <c r="F51" i="19"/>
  <c r="F50" i="19"/>
  <c r="F49" i="19"/>
  <c r="F48" i="19"/>
  <c r="F47" i="19"/>
  <c r="F46" i="19"/>
  <c r="F45" i="19"/>
  <c r="F44" i="19"/>
  <c r="F43" i="19"/>
  <c r="F42" i="19"/>
  <c r="F41" i="19"/>
  <c r="F40" i="19"/>
  <c r="F39" i="19"/>
  <c r="F38" i="19"/>
  <c r="F37" i="19"/>
  <c r="F36" i="19"/>
  <c r="F35" i="19"/>
  <c r="F34" i="19"/>
  <c r="F33" i="19"/>
  <c r="F32" i="19"/>
  <c r="F31" i="19"/>
  <c r="D31" i="19"/>
  <c r="F30" i="19"/>
  <c r="D30" i="19"/>
  <c r="J30" i="19" s="1"/>
  <c r="J29" i="19"/>
  <c r="F29" i="19"/>
  <c r="F16" i="19"/>
  <c r="E11" i="19"/>
  <c r="E10" i="19"/>
  <c r="D10" i="19"/>
  <c r="D7" i="19"/>
  <c r="F22" i="19" s="1"/>
  <c r="F64" i="18"/>
  <c r="F63" i="18"/>
  <c r="F62" i="18"/>
  <c r="F61" i="18"/>
  <c r="F60" i="18"/>
  <c r="F59" i="18"/>
  <c r="F58" i="18"/>
  <c r="F57" i="18"/>
  <c r="F56" i="18"/>
  <c r="F55" i="18"/>
  <c r="F54" i="18"/>
  <c r="F53" i="18"/>
  <c r="F52" i="18"/>
  <c r="F51" i="18"/>
  <c r="F50" i="18"/>
  <c r="F49" i="18"/>
  <c r="F48" i="18"/>
  <c r="F47" i="18"/>
  <c r="F46" i="18"/>
  <c r="F45" i="18"/>
  <c r="F44" i="18"/>
  <c r="F43" i="18"/>
  <c r="F42" i="18"/>
  <c r="F41" i="18"/>
  <c r="F40" i="18"/>
  <c r="F39" i="18"/>
  <c r="F38" i="18"/>
  <c r="F37" i="18"/>
  <c r="F36" i="18"/>
  <c r="F35" i="18"/>
  <c r="F34" i="18"/>
  <c r="F33" i="18"/>
  <c r="F32" i="18"/>
  <c r="F31" i="18"/>
  <c r="D31" i="18"/>
  <c r="D32" i="18" s="1"/>
  <c r="F30" i="18"/>
  <c r="D30" i="18"/>
  <c r="J30" i="18" s="1"/>
  <c r="J29" i="18"/>
  <c r="F29" i="18"/>
  <c r="F16" i="18"/>
  <c r="E11" i="18"/>
  <c r="E10" i="18"/>
  <c r="D10" i="18"/>
  <c r="D7" i="18"/>
  <c r="F22" i="18" s="1"/>
  <c r="F64" i="17"/>
  <c r="F63" i="17"/>
  <c r="F62" i="17"/>
  <c r="F61" i="17"/>
  <c r="F60" i="17"/>
  <c r="F59" i="17"/>
  <c r="F58" i="17"/>
  <c r="F57" i="17"/>
  <c r="F56" i="17"/>
  <c r="F55" i="17"/>
  <c r="F54" i="17"/>
  <c r="F53" i="17"/>
  <c r="F52" i="17"/>
  <c r="F51" i="17"/>
  <c r="F50" i="17"/>
  <c r="F49" i="17"/>
  <c r="F48" i="17"/>
  <c r="F47" i="17"/>
  <c r="F46" i="17"/>
  <c r="F45" i="17"/>
  <c r="F44" i="17"/>
  <c r="F43" i="17"/>
  <c r="F42" i="17"/>
  <c r="F41" i="17"/>
  <c r="F40" i="17"/>
  <c r="F39" i="17"/>
  <c r="F38" i="17"/>
  <c r="F37" i="17"/>
  <c r="F36" i="17"/>
  <c r="F35" i="17"/>
  <c r="F34" i="17"/>
  <c r="F33" i="17"/>
  <c r="F32" i="17"/>
  <c r="F31" i="17"/>
  <c r="D31" i="17"/>
  <c r="F30" i="17"/>
  <c r="D30" i="17"/>
  <c r="J30" i="17" s="1"/>
  <c r="J29" i="17"/>
  <c r="F29" i="17"/>
  <c r="F16" i="17"/>
  <c r="E11" i="17"/>
  <c r="E10" i="17"/>
  <c r="D10" i="17"/>
  <c r="D7" i="17"/>
  <c r="F22" i="17" s="1"/>
  <c r="D7" i="15"/>
  <c r="F22" i="15" s="1"/>
  <c r="F64" i="16"/>
  <c r="F63" i="16"/>
  <c r="F62" i="16"/>
  <c r="F61" i="16"/>
  <c r="F60" i="16"/>
  <c r="F59" i="16"/>
  <c r="F58" i="16"/>
  <c r="F57" i="16"/>
  <c r="F56" i="16"/>
  <c r="F55" i="16"/>
  <c r="F54" i="16"/>
  <c r="F53" i="16"/>
  <c r="F52" i="16"/>
  <c r="F51" i="16"/>
  <c r="F50" i="16"/>
  <c r="F49" i="16"/>
  <c r="F48" i="16"/>
  <c r="F47" i="16"/>
  <c r="F46" i="16"/>
  <c r="F45" i="16"/>
  <c r="F44" i="16"/>
  <c r="F43" i="16"/>
  <c r="F42" i="16"/>
  <c r="F41" i="16"/>
  <c r="F40" i="16"/>
  <c r="F39" i="16"/>
  <c r="F38" i="16"/>
  <c r="F37" i="16"/>
  <c r="F36" i="16"/>
  <c r="F35" i="16"/>
  <c r="F34" i="16"/>
  <c r="F33" i="16"/>
  <c r="F32" i="16"/>
  <c r="F31" i="16"/>
  <c r="D31" i="16"/>
  <c r="J31" i="16" s="1"/>
  <c r="J30" i="16"/>
  <c r="F30" i="16"/>
  <c r="D30" i="16"/>
  <c r="J29" i="16"/>
  <c r="F29" i="16"/>
  <c r="F22" i="16"/>
  <c r="F16" i="16"/>
  <c r="E11" i="16"/>
  <c r="E10" i="16"/>
  <c r="D10" i="16"/>
  <c r="C29" i="16" s="1"/>
  <c r="C30" i="16" s="1"/>
  <c r="C31" i="16" s="1"/>
  <c r="C32" i="16" s="1"/>
  <c r="C33" i="16" s="1"/>
  <c r="C34" i="16" s="1"/>
  <c r="C35" i="16" s="1"/>
  <c r="C36" i="16" s="1"/>
  <c r="C37" i="16" s="1"/>
  <c r="C38" i="16" s="1"/>
  <c r="C39" i="16" s="1"/>
  <c r="C40" i="16" s="1"/>
  <c r="C41" i="16" s="1"/>
  <c r="C42" i="16" s="1"/>
  <c r="C43" i="16" s="1"/>
  <c r="C44" i="16" s="1"/>
  <c r="C45" i="16" s="1"/>
  <c r="C46" i="16" s="1"/>
  <c r="C47" i="16" s="1"/>
  <c r="C48" i="16" s="1"/>
  <c r="C49" i="16" s="1"/>
  <c r="C50" i="16" s="1"/>
  <c r="C51" i="16" s="1"/>
  <c r="C52" i="16" s="1"/>
  <c r="C53" i="16" s="1"/>
  <c r="C54" i="16" s="1"/>
  <c r="C55" i="16" s="1"/>
  <c r="C56" i="16" s="1"/>
  <c r="C57" i="16" s="1"/>
  <c r="C58" i="16" s="1"/>
  <c r="C59" i="16" s="1"/>
  <c r="C60" i="16" s="1"/>
  <c r="C61" i="16" s="1"/>
  <c r="C62" i="16" s="1"/>
  <c r="C63" i="16" s="1"/>
  <c r="C64" i="16" s="1"/>
  <c r="C65" i="16" s="1"/>
  <c r="C66" i="16" s="1"/>
  <c r="C67" i="16" s="1"/>
  <c r="C68" i="16" s="1"/>
  <c r="C69" i="16" s="1"/>
  <c r="C70" i="16" s="1"/>
  <c r="C71" i="16" s="1"/>
  <c r="C72" i="16" s="1"/>
  <c r="C73" i="16" s="1"/>
  <c r="C74" i="16" s="1"/>
  <c r="C75" i="16" s="1"/>
  <c r="C76" i="16" s="1"/>
  <c r="C77" i="16" s="1"/>
  <c r="C78" i="16" s="1"/>
  <c r="C79" i="16" s="1"/>
  <c r="C80" i="16" s="1"/>
  <c r="C81" i="16" s="1"/>
  <c r="C82" i="16" s="1"/>
  <c r="C83" i="16" s="1"/>
  <c r="C84" i="16" s="1"/>
  <c r="C85" i="16" s="1"/>
  <c r="C86" i="16" s="1"/>
  <c r="C87" i="16" s="1"/>
  <c r="C88" i="16" s="1"/>
  <c r="C89" i="16" s="1"/>
  <c r="C90" i="16" s="1"/>
  <c r="C91" i="16" s="1"/>
  <c r="C92" i="16" s="1"/>
  <c r="C93" i="16" s="1"/>
  <c r="C94" i="16" s="1"/>
  <c r="C95" i="16" s="1"/>
  <c r="C96" i="16" s="1"/>
  <c r="C97" i="16" s="1"/>
  <c r="C98" i="16" s="1"/>
  <c r="C99" i="16" s="1"/>
  <c r="C100" i="16" s="1"/>
  <c r="C101" i="16" s="1"/>
  <c r="C102" i="16" s="1"/>
  <c r="C103" i="16" s="1"/>
  <c r="C104" i="16" s="1"/>
  <c r="C105" i="16" s="1"/>
  <c r="C106" i="16" s="1"/>
  <c r="C107" i="16" s="1"/>
  <c r="F30" i="15"/>
  <c r="F31" i="15"/>
  <c r="F32" i="15"/>
  <c r="F33" i="15"/>
  <c r="F34" i="15"/>
  <c r="F35" i="15"/>
  <c r="F36" i="15"/>
  <c r="F37" i="15"/>
  <c r="F38" i="15"/>
  <c r="F39" i="15"/>
  <c r="F40" i="15"/>
  <c r="F41" i="15"/>
  <c r="F42" i="15"/>
  <c r="F43" i="15"/>
  <c r="F44" i="15"/>
  <c r="F45" i="15"/>
  <c r="F46" i="15"/>
  <c r="F47" i="15"/>
  <c r="F48" i="15"/>
  <c r="F49" i="15"/>
  <c r="F50" i="15"/>
  <c r="F51" i="15"/>
  <c r="F52" i="15"/>
  <c r="F53" i="15"/>
  <c r="F54" i="15"/>
  <c r="F55" i="15"/>
  <c r="F56" i="15"/>
  <c r="F57" i="15"/>
  <c r="F58" i="15"/>
  <c r="F59" i="15"/>
  <c r="F60" i="15"/>
  <c r="F61" i="15"/>
  <c r="F62" i="15"/>
  <c r="F63" i="15"/>
  <c r="F64" i="15"/>
  <c r="F29" i="15"/>
  <c r="D31" i="15"/>
  <c r="J30" i="15"/>
  <c r="D30" i="15"/>
  <c r="J29" i="15"/>
  <c r="F16" i="15"/>
  <c r="E11" i="15"/>
  <c r="E10" i="15"/>
  <c r="D10" i="15"/>
  <c r="D31" i="14"/>
  <c r="D32" i="14" s="1"/>
  <c r="J30" i="14"/>
  <c r="D30" i="14"/>
  <c r="J29" i="14"/>
  <c r="F16" i="14"/>
  <c r="E11" i="14"/>
  <c r="E10" i="14"/>
  <c r="D10" i="14"/>
  <c r="D7" i="14"/>
  <c r="F22" i="14" s="1"/>
  <c r="D31" i="13"/>
  <c r="J30" i="13"/>
  <c r="D30" i="13"/>
  <c r="J29" i="13"/>
  <c r="F16" i="13"/>
  <c r="E11" i="13"/>
  <c r="E10" i="13"/>
  <c r="D10" i="13"/>
  <c r="D7" i="13"/>
  <c r="F22" i="13" s="1"/>
  <c r="D30" i="12"/>
  <c r="D31" i="12" s="1"/>
  <c r="J29" i="12"/>
  <c r="F16" i="12"/>
  <c r="E11" i="12"/>
  <c r="E10" i="12"/>
  <c r="D10" i="12"/>
  <c r="D7" i="12"/>
  <c r="F22" i="12" s="1"/>
  <c r="D30" i="11"/>
  <c r="D31" i="11" s="1"/>
  <c r="J29" i="11"/>
  <c r="F16" i="11"/>
  <c r="E11" i="11"/>
  <c r="E10" i="11"/>
  <c r="D10" i="11"/>
  <c r="D7" i="11"/>
  <c r="F22" i="11" s="1"/>
  <c r="D30" i="10"/>
  <c r="J29" i="10"/>
  <c r="F16" i="10"/>
  <c r="E11" i="10"/>
  <c r="E10" i="10"/>
  <c r="D10" i="10"/>
  <c r="D7" i="10"/>
  <c r="F29" i="10" s="1"/>
  <c r="J65" i="9"/>
  <c r="J66" i="9"/>
  <c r="J67" i="9"/>
  <c r="D65" i="9"/>
  <c r="D66" i="9"/>
  <c r="D67" i="9" s="1"/>
  <c r="D31" i="9"/>
  <c r="J30" i="9"/>
  <c r="D30" i="9"/>
  <c r="J29" i="9"/>
  <c r="F16" i="9"/>
  <c r="E11" i="9"/>
  <c r="E10" i="9"/>
  <c r="D10" i="9"/>
  <c r="D7" i="9"/>
  <c r="F22" i="9" s="1"/>
  <c r="D31" i="8"/>
  <c r="D32" i="8" s="1"/>
  <c r="J30" i="8"/>
  <c r="D30" i="8"/>
  <c r="J29" i="8"/>
  <c r="F16" i="8"/>
  <c r="E11" i="8"/>
  <c r="E10" i="8"/>
  <c r="D10" i="8"/>
  <c r="D7" i="8"/>
  <c r="F22" i="8" s="1"/>
  <c r="D31" i="7"/>
  <c r="J30" i="7"/>
  <c r="D30" i="7"/>
  <c r="J29" i="7"/>
  <c r="F16" i="7"/>
  <c r="E11" i="7"/>
  <c r="E10" i="7"/>
  <c r="D10" i="7"/>
  <c r="D7" i="7"/>
  <c r="F22" i="7" s="1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D64" i="6"/>
  <c r="D59" i="6"/>
  <c r="D60" i="6"/>
  <c r="D61" i="6"/>
  <c r="D62" i="6"/>
  <c r="D63" i="6" s="1"/>
  <c r="D41" i="6"/>
  <c r="D42" i="6"/>
  <c r="D43" i="6" s="1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D58" i="6" s="1"/>
  <c r="D31" i="6"/>
  <c r="J30" i="6"/>
  <c r="D30" i="6"/>
  <c r="J29" i="6"/>
  <c r="F16" i="6"/>
  <c r="E11" i="6"/>
  <c r="E10" i="6"/>
  <c r="D10" i="6"/>
  <c r="D7" i="6"/>
  <c r="F22" i="6" s="1"/>
  <c r="D31" i="5"/>
  <c r="J30" i="5"/>
  <c r="D30" i="5"/>
  <c r="J29" i="5"/>
  <c r="F16" i="5"/>
  <c r="E11" i="5"/>
  <c r="E10" i="5"/>
  <c r="D10" i="5"/>
  <c r="D7" i="5"/>
  <c r="F22" i="5" s="1"/>
  <c r="J35" i="4"/>
  <c r="J33" i="4"/>
  <c r="J32" i="4"/>
  <c r="D32" i="4"/>
  <c r="D33" i="4" s="1"/>
  <c r="D34" i="4" s="1"/>
  <c r="D35" i="4" s="1"/>
  <c r="D36" i="4" s="1"/>
  <c r="J31" i="4"/>
  <c r="D31" i="4"/>
  <c r="J30" i="4"/>
  <c r="D30" i="4"/>
  <c r="J29" i="4"/>
  <c r="F16" i="4"/>
  <c r="E11" i="4"/>
  <c r="E10" i="4"/>
  <c r="D10" i="4"/>
  <c r="D7" i="4"/>
  <c r="E11" i="3"/>
  <c r="E10" i="3"/>
  <c r="D10" i="3"/>
  <c r="D7" i="3"/>
  <c r="L125" i="3" a="1"/>
  <c r="L125" i="3" l="1"/>
  <c r="C29" i="9"/>
  <c r="C30" i="9" s="1"/>
  <c r="C31" i="9" s="1"/>
  <c r="C32" i="9" s="1"/>
  <c r="C33" i="9" s="1"/>
  <c r="C34" i="9" s="1"/>
  <c r="C35" i="9" s="1"/>
  <c r="C36" i="9" s="1"/>
  <c r="C37" i="9" s="1"/>
  <c r="C38" i="9" s="1"/>
  <c r="C39" i="9" s="1"/>
  <c r="C40" i="9" s="1"/>
  <c r="C41" i="9" s="1"/>
  <c r="C42" i="9" s="1"/>
  <c r="C43" i="9" s="1"/>
  <c r="C44" i="9" s="1"/>
  <c r="C45" i="9" s="1"/>
  <c r="C46" i="9" s="1"/>
  <c r="C47" i="9" s="1"/>
  <c r="C48" i="9" s="1"/>
  <c r="C49" i="9" s="1"/>
  <c r="C50" i="9" s="1"/>
  <c r="C51" i="9" s="1"/>
  <c r="C52" i="9" s="1"/>
  <c r="C53" i="9" s="1"/>
  <c r="C54" i="9" s="1"/>
  <c r="C55" i="9" s="1"/>
  <c r="C56" i="9" s="1"/>
  <c r="C57" i="9" s="1"/>
  <c r="C58" i="9" s="1"/>
  <c r="C59" i="9" s="1"/>
  <c r="C60" i="9" s="1"/>
  <c r="C61" i="9" s="1"/>
  <c r="C62" i="9" s="1"/>
  <c r="C63" i="9" s="1"/>
  <c r="C64" i="9" s="1"/>
  <c r="C29" i="12"/>
  <c r="C30" i="12" s="1"/>
  <c r="C31" i="12" s="1"/>
  <c r="C32" i="12" s="1"/>
  <c r="C33" i="12" s="1"/>
  <c r="C34" i="12" s="1"/>
  <c r="C35" i="12" s="1"/>
  <c r="C36" i="12" s="1"/>
  <c r="C37" i="12" s="1"/>
  <c r="C38" i="12" s="1"/>
  <c r="C39" i="12" s="1"/>
  <c r="C40" i="12" s="1"/>
  <c r="C41" i="12" s="1"/>
  <c r="C42" i="12" s="1"/>
  <c r="C43" i="12" s="1"/>
  <c r="C44" i="12" s="1"/>
  <c r="C45" i="12" s="1"/>
  <c r="C46" i="12" s="1"/>
  <c r="C47" i="12" s="1"/>
  <c r="C48" i="12" s="1"/>
  <c r="C49" i="12" s="1"/>
  <c r="C50" i="12" s="1"/>
  <c r="C51" i="12" s="1"/>
  <c r="C52" i="12" s="1"/>
  <c r="C53" i="12" s="1"/>
  <c r="C54" i="12" s="1"/>
  <c r="C55" i="12" s="1"/>
  <c r="C56" i="12" s="1"/>
  <c r="C57" i="12" s="1"/>
  <c r="C58" i="12" s="1"/>
  <c r="C59" i="12" s="1"/>
  <c r="C60" i="12" s="1"/>
  <c r="C61" i="12" s="1"/>
  <c r="C62" i="12" s="1"/>
  <c r="C63" i="12" s="1"/>
  <c r="C64" i="12" s="1"/>
  <c r="C29" i="14"/>
  <c r="C30" i="14" s="1"/>
  <c r="C31" i="14" s="1"/>
  <c r="C32" i="14" s="1"/>
  <c r="C33" i="14" s="1"/>
  <c r="C34" i="14" s="1"/>
  <c r="C35" i="14" s="1"/>
  <c r="C36" i="14" s="1"/>
  <c r="C37" i="14" s="1"/>
  <c r="C38" i="14" s="1"/>
  <c r="C39" i="14" s="1"/>
  <c r="C40" i="14" s="1"/>
  <c r="C41" i="14" s="1"/>
  <c r="C42" i="14" s="1"/>
  <c r="C43" i="14" s="1"/>
  <c r="C44" i="14" s="1"/>
  <c r="C45" i="14" s="1"/>
  <c r="C46" i="14" s="1"/>
  <c r="C47" i="14" s="1"/>
  <c r="C48" i="14" s="1"/>
  <c r="C49" i="14" s="1"/>
  <c r="C50" i="14" s="1"/>
  <c r="C51" i="14" s="1"/>
  <c r="C52" i="14" s="1"/>
  <c r="C53" i="14" s="1"/>
  <c r="C54" i="14" s="1"/>
  <c r="C55" i="14" s="1"/>
  <c r="C56" i="14" s="1"/>
  <c r="C57" i="14" s="1"/>
  <c r="C58" i="14" s="1"/>
  <c r="C59" i="14" s="1"/>
  <c r="C60" i="14" s="1"/>
  <c r="C61" i="14" s="1"/>
  <c r="C62" i="14" s="1"/>
  <c r="C63" i="14" s="1"/>
  <c r="C64" i="14" s="1"/>
  <c r="C29" i="15"/>
  <c r="C30" i="15" s="1"/>
  <c r="C31" i="15" s="1"/>
  <c r="C32" i="15" s="1"/>
  <c r="C33" i="15" s="1"/>
  <c r="C34" i="15" s="1"/>
  <c r="C35" i="15" s="1"/>
  <c r="C36" i="15" s="1"/>
  <c r="C37" i="15" s="1"/>
  <c r="C38" i="15" s="1"/>
  <c r="C39" i="15" s="1"/>
  <c r="C40" i="15" s="1"/>
  <c r="C41" i="15" s="1"/>
  <c r="C42" i="15" s="1"/>
  <c r="C43" i="15" s="1"/>
  <c r="C44" i="15" s="1"/>
  <c r="C45" i="15" s="1"/>
  <c r="C46" i="15" s="1"/>
  <c r="C47" i="15" s="1"/>
  <c r="C48" i="15" s="1"/>
  <c r="C49" i="15" s="1"/>
  <c r="C50" i="15" s="1"/>
  <c r="C51" i="15" s="1"/>
  <c r="C52" i="15" s="1"/>
  <c r="C53" i="15" s="1"/>
  <c r="C54" i="15" s="1"/>
  <c r="C55" i="15" s="1"/>
  <c r="C56" i="15" s="1"/>
  <c r="C57" i="15" s="1"/>
  <c r="C58" i="15" s="1"/>
  <c r="C59" i="15" s="1"/>
  <c r="C60" i="15" s="1"/>
  <c r="C61" i="15" s="1"/>
  <c r="C62" i="15" s="1"/>
  <c r="C63" i="15" s="1"/>
  <c r="C64" i="15" s="1"/>
  <c r="C29" i="23"/>
  <c r="C30" i="23" s="1"/>
  <c r="C31" i="23" s="1"/>
  <c r="C32" i="23" s="1"/>
  <c r="C33" i="23" s="1"/>
  <c r="C34" i="23" s="1"/>
  <c r="C35" i="23" s="1"/>
  <c r="C36" i="23" s="1"/>
  <c r="C37" i="23" s="1"/>
  <c r="C38" i="23" s="1"/>
  <c r="C39" i="23" s="1"/>
  <c r="C40" i="23" s="1"/>
  <c r="C41" i="23" s="1"/>
  <c r="C42" i="23" s="1"/>
  <c r="C43" i="23" s="1"/>
  <c r="C44" i="23" s="1"/>
  <c r="C45" i="23" s="1"/>
  <c r="C46" i="23" s="1"/>
  <c r="C47" i="23" s="1"/>
  <c r="C48" i="23" s="1"/>
  <c r="C49" i="23" s="1"/>
  <c r="C50" i="23" s="1"/>
  <c r="C51" i="23" s="1"/>
  <c r="C52" i="23" s="1"/>
  <c r="C53" i="23" s="1"/>
  <c r="C54" i="23" s="1"/>
  <c r="C55" i="23" s="1"/>
  <c r="C56" i="23" s="1"/>
  <c r="C57" i="23" s="1"/>
  <c r="C58" i="23" s="1"/>
  <c r="C59" i="23" s="1"/>
  <c r="C60" i="23" s="1"/>
  <c r="C61" i="23" s="1"/>
  <c r="C62" i="23" s="1"/>
  <c r="C63" i="23" s="1"/>
  <c r="C64" i="23" s="1"/>
  <c r="C29" i="24"/>
  <c r="C30" i="24" s="1"/>
  <c r="C31" i="24" s="1"/>
  <c r="C32" i="24" s="1"/>
  <c r="C33" i="24" s="1"/>
  <c r="C34" i="24" s="1"/>
  <c r="C35" i="24" s="1"/>
  <c r="C36" i="24" s="1"/>
  <c r="C37" i="24" s="1"/>
  <c r="C38" i="24" s="1"/>
  <c r="C39" i="24" s="1"/>
  <c r="C40" i="24" s="1"/>
  <c r="C41" i="24" s="1"/>
  <c r="C42" i="24" s="1"/>
  <c r="C43" i="24" s="1"/>
  <c r="C44" i="24" s="1"/>
  <c r="C45" i="24" s="1"/>
  <c r="C46" i="24" s="1"/>
  <c r="C47" i="24" s="1"/>
  <c r="C48" i="24" s="1"/>
  <c r="C49" i="24" s="1"/>
  <c r="C50" i="24" s="1"/>
  <c r="C51" i="24" s="1"/>
  <c r="C52" i="24" s="1"/>
  <c r="C53" i="24" s="1"/>
  <c r="C54" i="24" s="1"/>
  <c r="C55" i="24" s="1"/>
  <c r="C56" i="24" s="1"/>
  <c r="C57" i="24" s="1"/>
  <c r="C58" i="24" s="1"/>
  <c r="C59" i="24" s="1"/>
  <c r="C60" i="24" s="1"/>
  <c r="C61" i="24" s="1"/>
  <c r="C62" i="24" s="1"/>
  <c r="C63" i="24" s="1"/>
  <c r="C64" i="24" s="1"/>
  <c r="C29" i="27"/>
  <c r="C30" i="27" s="1"/>
  <c r="C31" i="27" s="1"/>
  <c r="C32" i="27" s="1"/>
  <c r="C33" i="27" s="1"/>
  <c r="C34" i="27" s="1"/>
  <c r="C35" i="27" s="1"/>
  <c r="C36" i="27" s="1"/>
  <c r="C37" i="27" s="1"/>
  <c r="C38" i="27" s="1"/>
  <c r="C39" i="27" s="1"/>
  <c r="C40" i="27" s="1"/>
  <c r="C41" i="27" s="1"/>
  <c r="C42" i="27" s="1"/>
  <c r="C43" i="27" s="1"/>
  <c r="C44" i="27" s="1"/>
  <c r="C45" i="27" s="1"/>
  <c r="C46" i="27" s="1"/>
  <c r="C47" i="27" s="1"/>
  <c r="C48" i="27" s="1"/>
  <c r="C49" i="27" s="1"/>
  <c r="C50" i="27" s="1"/>
  <c r="C51" i="27" s="1"/>
  <c r="C52" i="27" s="1"/>
  <c r="C53" i="27" s="1"/>
  <c r="C54" i="27" s="1"/>
  <c r="C55" i="27" s="1"/>
  <c r="C56" i="27" s="1"/>
  <c r="C57" i="27" s="1"/>
  <c r="C58" i="27" s="1"/>
  <c r="C59" i="27" s="1"/>
  <c r="C60" i="27" s="1"/>
  <c r="C61" i="27" s="1"/>
  <c r="C62" i="27" s="1"/>
  <c r="C63" i="27" s="1"/>
  <c r="C64" i="27" s="1"/>
  <c r="C29" i="5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C48" i="5" s="1"/>
  <c r="C49" i="5" s="1"/>
  <c r="C50" i="5" s="1"/>
  <c r="C51" i="5" s="1"/>
  <c r="C52" i="5" s="1"/>
  <c r="C53" i="5" s="1"/>
  <c r="C54" i="5" s="1"/>
  <c r="C55" i="5" s="1"/>
  <c r="C56" i="5" s="1"/>
  <c r="C57" i="5" s="1"/>
  <c r="C58" i="5" s="1"/>
  <c r="C59" i="5" s="1"/>
  <c r="C60" i="5" s="1"/>
  <c r="C61" i="5" s="1"/>
  <c r="C62" i="5" s="1"/>
  <c r="C63" i="5" s="1"/>
  <c r="C64" i="5" s="1"/>
  <c r="C29" i="6"/>
  <c r="C30" i="6" s="1"/>
  <c r="C31" i="6" s="1"/>
  <c r="C32" i="6" s="1"/>
  <c r="C33" i="6" s="1"/>
  <c r="C34" i="6" s="1"/>
  <c r="C35" i="6" s="1"/>
  <c r="C36" i="6" s="1"/>
  <c r="C37" i="6" s="1"/>
  <c r="C38" i="6" s="1"/>
  <c r="C39" i="6" s="1"/>
  <c r="C40" i="6" s="1"/>
  <c r="C41" i="6" s="1"/>
  <c r="C42" i="6" s="1"/>
  <c r="C43" i="6" s="1"/>
  <c r="C44" i="6" s="1"/>
  <c r="C45" i="6" s="1"/>
  <c r="C46" i="6" s="1"/>
  <c r="C47" i="6" s="1"/>
  <c r="C48" i="6" s="1"/>
  <c r="C49" i="6" s="1"/>
  <c r="C50" i="6" s="1"/>
  <c r="C51" i="6" s="1"/>
  <c r="C52" i="6" s="1"/>
  <c r="C53" i="6" s="1"/>
  <c r="C54" i="6" s="1"/>
  <c r="C55" i="6" s="1"/>
  <c r="C56" i="6" s="1"/>
  <c r="C57" i="6" s="1"/>
  <c r="C58" i="6" s="1"/>
  <c r="C59" i="6" s="1"/>
  <c r="C60" i="6" s="1"/>
  <c r="C61" i="6" s="1"/>
  <c r="C62" i="6" s="1"/>
  <c r="C63" i="6" s="1"/>
  <c r="C64" i="6" s="1"/>
  <c r="C29" i="7"/>
  <c r="C30" i="7" s="1"/>
  <c r="C31" i="7" s="1"/>
  <c r="C32" i="7" s="1"/>
  <c r="C33" i="7" s="1"/>
  <c r="C34" i="7" s="1"/>
  <c r="C35" i="7" s="1"/>
  <c r="C36" i="7" s="1"/>
  <c r="C37" i="7" s="1"/>
  <c r="C38" i="7" s="1"/>
  <c r="C39" i="7" s="1"/>
  <c r="C40" i="7" s="1"/>
  <c r="C41" i="7" s="1"/>
  <c r="C42" i="7" s="1"/>
  <c r="C43" i="7" s="1"/>
  <c r="C44" i="7" s="1"/>
  <c r="C45" i="7" s="1"/>
  <c r="C46" i="7" s="1"/>
  <c r="C47" i="7" s="1"/>
  <c r="C48" i="7" s="1"/>
  <c r="C49" i="7" s="1"/>
  <c r="C50" i="7" s="1"/>
  <c r="C51" i="7" s="1"/>
  <c r="C52" i="7" s="1"/>
  <c r="C53" i="7" s="1"/>
  <c r="C54" i="7" s="1"/>
  <c r="C55" i="7" s="1"/>
  <c r="C56" i="7" s="1"/>
  <c r="C57" i="7" s="1"/>
  <c r="C58" i="7" s="1"/>
  <c r="C59" i="7" s="1"/>
  <c r="C60" i="7" s="1"/>
  <c r="C61" i="7" s="1"/>
  <c r="C62" i="7" s="1"/>
  <c r="C63" i="7" s="1"/>
  <c r="C64" i="7" s="1"/>
  <c r="C29" i="21"/>
  <c r="C30" i="21" s="1"/>
  <c r="C31" i="21" s="1"/>
  <c r="C32" i="21" s="1"/>
  <c r="C33" i="21" s="1"/>
  <c r="C34" i="21" s="1"/>
  <c r="C35" i="21" s="1"/>
  <c r="C36" i="21" s="1"/>
  <c r="C37" i="21" s="1"/>
  <c r="C38" i="21" s="1"/>
  <c r="C39" i="21" s="1"/>
  <c r="C40" i="21" s="1"/>
  <c r="C41" i="21" s="1"/>
  <c r="C42" i="21" s="1"/>
  <c r="C43" i="21" s="1"/>
  <c r="C44" i="21" s="1"/>
  <c r="C45" i="21" s="1"/>
  <c r="C46" i="21" s="1"/>
  <c r="C47" i="21" s="1"/>
  <c r="C48" i="21" s="1"/>
  <c r="C49" i="21" s="1"/>
  <c r="C50" i="21" s="1"/>
  <c r="C51" i="21" s="1"/>
  <c r="C52" i="21" s="1"/>
  <c r="C53" i="21" s="1"/>
  <c r="C54" i="21" s="1"/>
  <c r="C55" i="21" s="1"/>
  <c r="C56" i="21" s="1"/>
  <c r="C57" i="21" s="1"/>
  <c r="C58" i="21" s="1"/>
  <c r="C59" i="21" s="1"/>
  <c r="C60" i="21" s="1"/>
  <c r="C61" i="21" s="1"/>
  <c r="C62" i="21" s="1"/>
  <c r="C63" i="21" s="1"/>
  <c r="C64" i="21" s="1"/>
  <c r="C29" i="26"/>
  <c r="C30" i="26" s="1"/>
  <c r="C31" i="26" s="1"/>
  <c r="C32" i="26" s="1"/>
  <c r="C33" i="26" s="1"/>
  <c r="C34" i="26" s="1"/>
  <c r="C35" i="26" s="1"/>
  <c r="C36" i="26" s="1"/>
  <c r="C37" i="26" s="1"/>
  <c r="C38" i="26" s="1"/>
  <c r="C39" i="26" s="1"/>
  <c r="C40" i="26" s="1"/>
  <c r="C41" i="26" s="1"/>
  <c r="C42" i="26" s="1"/>
  <c r="C43" i="26" s="1"/>
  <c r="C44" i="26" s="1"/>
  <c r="C45" i="26" s="1"/>
  <c r="C46" i="26" s="1"/>
  <c r="C47" i="26" s="1"/>
  <c r="C48" i="26" s="1"/>
  <c r="C49" i="26" s="1"/>
  <c r="C50" i="26" s="1"/>
  <c r="C51" i="26" s="1"/>
  <c r="C52" i="26" s="1"/>
  <c r="C53" i="26" s="1"/>
  <c r="C54" i="26" s="1"/>
  <c r="C55" i="26" s="1"/>
  <c r="C56" i="26" s="1"/>
  <c r="C57" i="26" s="1"/>
  <c r="C58" i="26" s="1"/>
  <c r="C59" i="26" s="1"/>
  <c r="C60" i="26" s="1"/>
  <c r="C61" i="26" s="1"/>
  <c r="C62" i="26" s="1"/>
  <c r="C63" i="26" s="1"/>
  <c r="C64" i="26" s="1"/>
  <c r="C29" i="28"/>
  <c r="C30" i="28" s="1"/>
  <c r="C31" i="28" s="1"/>
  <c r="C32" i="28" s="1"/>
  <c r="C33" i="28" s="1"/>
  <c r="C34" i="28" s="1"/>
  <c r="C35" i="28" s="1"/>
  <c r="C36" i="28" s="1"/>
  <c r="C37" i="28" s="1"/>
  <c r="C38" i="28" s="1"/>
  <c r="C39" i="28" s="1"/>
  <c r="C40" i="28" s="1"/>
  <c r="C41" i="28" s="1"/>
  <c r="C42" i="28" s="1"/>
  <c r="C43" i="28" s="1"/>
  <c r="C44" i="28" s="1"/>
  <c r="C45" i="28" s="1"/>
  <c r="C46" i="28" s="1"/>
  <c r="C47" i="28" s="1"/>
  <c r="C48" i="28" s="1"/>
  <c r="C49" i="28" s="1"/>
  <c r="C50" i="28" s="1"/>
  <c r="C51" i="28" s="1"/>
  <c r="C52" i="28" s="1"/>
  <c r="C53" i="28" s="1"/>
  <c r="C54" i="28" s="1"/>
  <c r="C55" i="28" s="1"/>
  <c r="C56" i="28" s="1"/>
  <c r="C57" i="28" s="1"/>
  <c r="C58" i="28" s="1"/>
  <c r="C59" i="28" s="1"/>
  <c r="C60" i="28" s="1"/>
  <c r="C61" i="28" s="1"/>
  <c r="C62" i="28" s="1"/>
  <c r="C63" i="28" s="1"/>
  <c r="C64" i="28" s="1"/>
  <c r="C29" i="13"/>
  <c r="C30" i="13" s="1"/>
  <c r="C31" i="13" s="1"/>
  <c r="C32" i="13" s="1"/>
  <c r="C33" i="13" s="1"/>
  <c r="C34" i="13" s="1"/>
  <c r="C35" i="13" s="1"/>
  <c r="C36" i="13" s="1"/>
  <c r="C37" i="13" s="1"/>
  <c r="C38" i="13" s="1"/>
  <c r="C39" i="13" s="1"/>
  <c r="C40" i="13" s="1"/>
  <c r="C41" i="13" s="1"/>
  <c r="C42" i="13" s="1"/>
  <c r="C43" i="13" s="1"/>
  <c r="C44" i="13" s="1"/>
  <c r="C45" i="13" s="1"/>
  <c r="C46" i="13" s="1"/>
  <c r="C47" i="13" s="1"/>
  <c r="C48" i="13" s="1"/>
  <c r="C49" i="13" s="1"/>
  <c r="C50" i="13" s="1"/>
  <c r="C51" i="13" s="1"/>
  <c r="C52" i="13" s="1"/>
  <c r="C53" i="13" s="1"/>
  <c r="C54" i="13" s="1"/>
  <c r="C55" i="13" s="1"/>
  <c r="C56" i="13" s="1"/>
  <c r="C57" i="13" s="1"/>
  <c r="C58" i="13" s="1"/>
  <c r="C59" i="13" s="1"/>
  <c r="C60" i="13" s="1"/>
  <c r="C61" i="13" s="1"/>
  <c r="C62" i="13" s="1"/>
  <c r="C63" i="13" s="1"/>
  <c r="C64" i="13" s="1"/>
  <c r="C29" i="17"/>
  <c r="C30" i="17" s="1"/>
  <c r="C31" i="17" s="1"/>
  <c r="C32" i="17" s="1"/>
  <c r="C33" i="17" s="1"/>
  <c r="C34" i="17" s="1"/>
  <c r="C35" i="17" s="1"/>
  <c r="C36" i="17" s="1"/>
  <c r="C37" i="17" s="1"/>
  <c r="C38" i="17" s="1"/>
  <c r="C39" i="17" s="1"/>
  <c r="C40" i="17" s="1"/>
  <c r="C41" i="17" s="1"/>
  <c r="C42" i="17" s="1"/>
  <c r="C43" i="17" s="1"/>
  <c r="C44" i="17" s="1"/>
  <c r="C45" i="17" s="1"/>
  <c r="C46" i="17" s="1"/>
  <c r="C47" i="17" s="1"/>
  <c r="C48" i="17" s="1"/>
  <c r="C49" i="17" s="1"/>
  <c r="C50" i="17" s="1"/>
  <c r="C51" i="17" s="1"/>
  <c r="C52" i="17" s="1"/>
  <c r="C53" i="17" s="1"/>
  <c r="C54" i="17" s="1"/>
  <c r="C55" i="17" s="1"/>
  <c r="C56" i="17" s="1"/>
  <c r="C57" i="17" s="1"/>
  <c r="C58" i="17" s="1"/>
  <c r="C59" i="17" s="1"/>
  <c r="C60" i="17" s="1"/>
  <c r="C61" i="17" s="1"/>
  <c r="C62" i="17" s="1"/>
  <c r="C63" i="17" s="1"/>
  <c r="C64" i="17" s="1"/>
  <c r="C29" i="18"/>
  <c r="C30" i="18" s="1"/>
  <c r="C31" i="18" s="1"/>
  <c r="C32" i="18" s="1"/>
  <c r="C33" i="18" s="1"/>
  <c r="C34" i="18" s="1"/>
  <c r="C35" i="18" s="1"/>
  <c r="C36" i="18" s="1"/>
  <c r="C37" i="18" s="1"/>
  <c r="C38" i="18" s="1"/>
  <c r="C39" i="18" s="1"/>
  <c r="C40" i="18" s="1"/>
  <c r="C41" i="18" s="1"/>
  <c r="C42" i="18" s="1"/>
  <c r="C43" i="18" s="1"/>
  <c r="C44" i="18" s="1"/>
  <c r="C45" i="18" s="1"/>
  <c r="C46" i="18" s="1"/>
  <c r="C47" i="18" s="1"/>
  <c r="C48" i="18" s="1"/>
  <c r="C49" i="18" s="1"/>
  <c r="C50" i="18" s="1"/>
  <c r="C51" i="18" s="1"/>
  <c r="C52" i="18" s="1"/>
  <c r="C53" i="18" s="1"/>
  <c r="C54" i="18" s="1"/>
  <c r="C55" i="18" s="1"/>
  <c r="C56" i="18" s="1"/>
  <c r="C57" i="18" s="1"/>
  <c r="C58" i="18" s="1"/>
  <c r="C59" i="18" s="1"/>
  <c r="C60" i="18" s="1"/>
  <c r="C61" i="18" s="1"/>
  <c r="C62" i="18" s="1"/>
  <c r="C63" i="18" s="1"/>
  <c r="C64" i="18" s="1"/>
  <c r="C29" i="19"/>
  <c r="C30" i="19" s="1"/>
  <c r="C31" i="19" s="1"/>
  <c r="C32" i="19" s="1"/>
  <c r="C33" i="19" s="1"/>
  <c r="C34" i="19" s="1"/>
  <c r="C35" i="19" s="1"/>
  <c r="C36" i="19" s="1"/>
  <c r="C37" i="19" s="1"/>
  <c r="C38" i="19" s="1"/>
  <c r="C39" i="19" s="1"/>
  <c r="C40" i="19" s="1"/>
  <c r="C41" i="19" s="1"/>
  <c r="C42" i="19" s="1"/>
  <c r="C43" i="19" s="1"/>
  <c r="C44" i="19" s="1"/>
  <c r="C45" i="19" s="1"/>
  <c r="C46" i="19" s="1"/>
  <c r="C47" i="19" s="1"/>
  <c r="C48" i="19" s="1"/>
  <c r="C49" i="19" s="1"/>
  <c r="C50" i="19" s="1"/>
  <c r="C51" i="19" s="1"/>
  <c r="C52" i="19" s="1"/>
  <c r="C53" i="19" s="1"/>
  <c r="C54" i="19" s="1"/>
  <c r="C55" i="19" s="1"/>
  <c r="C56" i="19" s="1"/>
  <c r="C57" i="19" s="1"/>
  <c r="C58" i="19" s="1"/>
  <c r="C59" i="19" s="1"/>
  <c r="C60" i="19" s="1"/>
  <c r="C61" i="19" s="1"/>
  <c r="C62" i="19" s="1"/>
  <c r="C63" i="19" s="1"/>
  <c r="C64" i="19" s="1"/>
  <c r="C29" i="20"/>
  <c r="C30" i="20" s="1"/>
  <c r="C31" i="20" s="1"/>
  <c r="C32" i="20" s="1"/>
  <c r="C33" i="20" s="1"/>
  <c r="C34" i="20" s="1"/>
  <c r="C35" i="20" s="1"/>
  <c r="C36" i="20" s="1"/>
  <c r="C37" i="20" s="1"/>
  <c r="C38" i="20" s="1"/>
  <c r="C39" i="20" s="1"/>
  <c r="C40" i="20" s="1"/>
  <c r="C41" i="20" s="1"/>
  <c r="C42" i="20" s="1"/>
  <c r="C43" i="20" s="1"/>
  <c r="C44" i="20" s="1"/>
  <c r="C45" i="20" s="1"/>
  <c r="C46" i="20" s="1"/>
  <c r="C47" i="20" s="1"/>
  <c r="C48" i="20" s="1"/>
  <c r="C49" i="20" s="1"/>
  <c r="C50" i="20" s="1"/>
  <c r="C51" i="20" s="1"/>
  <c r="C52" i="20" s="1"/>
  <c r="C53" i="20" s="1"/>
  <c r="C54" i="20" s="1"/>
  <c r="C55" i="20" s="1"/>
  <c r="C56" i="20" s="1"/>
  <c r="C57" i="20" s="1"/>
  <c r="C58" i="20" s="1"/>
  <c r="C59" i="20" s="1"/>
  <c r="C60" i="20" s="1"/>
  <c r="C61" i="20" s="1"/>
  <c r="C62" i="20" s="1"/>
  <c r="C63" i="20" s="1"/>
  <c r="C64" i="20" s="1"/>
  <c r="C29" i="8"/>
  <c r="C30" i="8" s="1"/>
  <c r="C31" i="8" s="1"/>
  <c r="C32" i="8" s="1"/>
  <c r="C33" i="8" s="1"/>
  <c r="C34" i="8" s="1"/>
  <c r="C35" i="8" s="1"/>
  <c r="C36" i="8" s="1"/>
  <c r="C37" i="8" s="1"/>
  <c r="C38" i="8" s="1"/>
  <c r="C39" i="8" s="1"/>
  <c r="C40" i="8" s="1"/>
  <c r="C41" i="8" s="1"/>
  <c r="C42" i="8" s="1"/>
  <c r="C43" i="8" s="1"/>
  <c r="C44" i="8" s="1"/>
  <c r="C45" i="8" s="1"/>
  <c r="C46" i="8" s="1"/>
  <c r="C47" i="8" s="1"/>
  <c r="C48" i="8" s="1"/>
  <c r="C49" i="8" s="1"/>
  <c r="C50" i="8" s="1"/>
  <c r="C51" i="8" s="1"/>
  <c r="C52" i="8" s="1"/>
  <c r="C53" i="8" s="1"/>
  <c r="C54" i="8" s="1"/>
  <c r="C55" i="8" s="1"/>
  <c r="C56" i="8" s="1"/>
  <c r="C57" i="8" s="1"/>
  <c r="C58" i="8" s="1"/>
  <c r="C59" i="8" s="1"/>
  <c r="C60" i="8" s="1"/>
  <c r="C61" i="8" s="1"/>
  <c r="C62" i="8" s="1"/>
  <c r="C63" i="8" s="1"/>
  <c r="C64" i="8" s="1"/>
  <c r="A58" i="29"/>
  <c r="A59" i="29" s="1"/>
  <c r="A60" i="29" s="1"/>
  <c r="F57" i="29"/>
  <c r="F56" i="29"/>
  <c r="A45" i="29"/>
  <c r="A46" i="29" s="1"/>
  <c r="F44" i="29"/>
  <c r="F10" i="29"/>
  <c r="F11" i="29"/>
  <c r="F13" i="29"/>
  <c r="D32" i="29"/>
  <c r="J31" i="29"/>
  <c r="C29" i="29"/>
  <c r="C30" i="29" s="1"/>
  <c r="C31" i="29" s="1"/>
  <c r="C32" i="29" s="1"/>
  <c r="C33" i="29" s="1"/>
  <c r="C34" i="29" s="1"/>
  <c r="C35" i="29" s="1"/>
  <c r="C36" i="29" s="1"/>
  <c r="C37" i="29" s="1"/>
  <c r="C38" i="29" s="1"/>
  <c r="C39" i="29" s="1"/>
  <c r="C40" i="29" s="1"/>
  <c r="C41" i="29" s="1"/>
  <c r="C42" i="29" s="1"/>
  <c r="C43" i="29" s="1"/>
  <c r="C44" i="29" s="1"/>
  <c r="C45" i="29" s="1"/>
  <c r="C46" i="29" s="1"/>
  <c r="C47" i="29" s="1"/>
  <c r="C48" i="29" s="1"/>
  <c r="C49" i="29" s="1"/>
  <c r="C50" i="29" s="1"/>
  <c r="C51" i="29" s="1"/>
  <c r="C52" i="29" s="1"/>
  <c r="C53" i="29" s="1"/>
  <c r="C54" i="29" s="1"/>
  <c r="C55" i="29" s="1"/>
  <c r="C56" i="29" s="1"/>
  <c r="C57" i="29" s="1"/>
  <c r="C58" i="29" s="1"/>
  <c r="C59" i="29" s="1"/>
  <c r="C60" i="29" s="1"/>
  <c r="C61" i="29" s="1"/>
  <c r="C62" i="29" s="1"/>
  <c r="C63" i="29" s="1"/>
  <c r="C64" i="29" s="1"/>
  <c r="O29" i="29"/>
  <c r="O30" i="29" s="1"/>
  <c r="O31" i="29" s="1"/>
  <c r="O32" i="29" s="1"/>
  <c r="O33" i="29" s="1"/>
  <c r="F37" i="29"/>
  <c r="F45" i="29"/>
  <c r="F53" i="29"/>
  <c r="J30" i="29"/>
  <c r="F35" i="29"/>
  <c r="F43" i="29"/>
  <c r="F59" i="29"/>
  <c r="F34" i="29"/>
  <c r="F42" i="29"/>
  <c r="F58" i="29"/>
  <c r="F13" i="28"/>
  <c r="F110" i="28"/>
  <c r="F10" i="28"/>
  <c r="D33" i="28"/>
  <c r="J32" i="28"/>
  <c r="F11" i="28"/>
  <c r="O29" i="28"/>
  <c r="O30" i="28" s="1"/>
  <c r="O31" i="28" s="1"/>
  <c r="O32" i="28" s="1"/>
  <c r="O33" i="28" s="1"/>
  <c r="O34" i="28" s="1"/>
  <c r="O35" i="28" s="1"/>
  <c r="O36" i="28" s="1"/>
  <c r="O37" i="28" s="1"/>
  <c r="O38" i="28" s="1"/>
  <c r="O39" i="28" s="1"/>
  <c r="O40" i="28" s="1"/>
  <c r="O41" i="28" s="1"/>
  <c r="O42" i="28" s="1"/>
  <c r="O43" i="28" s="1"/>
  <c r="O44" i="28" s="1"/>
  <c r="O45" i="28" s="1"/>
  <c r="O46" i="28" s="1"/>
  <c r="O47" i="28" s="1"/>
  <c r="O48" i="28" s="1"/>
  <c r="O49" i="28" s="1"/>
  <c r="O50" i="28" s="1"/>
  <c r="O51" i="28" s="1"/>
  <c r="O52" i="28" s="1"/>
  <c r="O53" i="28" s="1"/>
  <c r="O54" i="28" s="1"/>
  <c r="O55" i="28" s="1"/>
  <c r="O56" i="28" s="1"/>
  <c r="O57" i="28" s="1"/>
  <c r="O58" i="28" s="1"/>
  <c r="O59" i="28" s="1"/>
  <c r="O60" i="28" s="1"/>
  <c r="O61" i="28" s="1"/>
  <c r="O62" i="28" s="1"/>
  <c r="O63" i="28" s="1"/>
  <c r="O64" i="28" s="1"/>
  <c r="J31" i="28"/>
  <c r="F11" i="27"/>
  <c r="F13" i="27"/>
  <c r="F29" i="27"/>
  <c r="O29" i="27" s="1"/>
  <c r="D33" i="27"/>
  <c r="J32" i="27"/>
  <c r="F10" i="27"/>
  <c r="J31" i="27"/>
  <c r="F13" i="26"/>
  <c r="F110" i="26"/>
  <c r="F11" i="20"/>
  <c r="F10" i="26"/>
  <c r="D31" i="26"/>
  <c r="F11" i="26"/>
  <c r="O29" i="26"/>
  <c r="O30" i="26" s="1"/>
  <c r="O31" i="26" s="1"/>
  <c r="O32" i="26" s="1"/>
  <c r="O33" i="26" s="1"/>
  <c r="O34" i="26" s="1"/>
  <c r="O35" i="26" s="1"/>
  <c r="O36" i="26" s="1"/>
  <c r="O37" i="26" s="1"/>
  <c r="O38" i="26" s="1"/>
  <c r="O39" i="26" s="1"/>
  <c r="O40" i="26" s="1"/>
  <c r="O41" i="26" s="1"/>
  <c r="O42" i="26" s="1"/>
  <c r="O43" i="26" s="1"/>
  <c r="O44" i="26" s="1"/>
  <c r="O45" i="26" s="1"/>
  <c r="O46" i="26" s="1"/>
  <c r="O47" i="26" s="1"/>
  <c r="O48" i="26" s="1"/>
  <c r="O49" i="26" s="1"/>
  <c r="O50" i="26" s="1"/>
  <c r="O51" i="26" s="1"/>
  <c r="O52" i="26" s="1"/>
  <c r="O53" i="26" s="1"/>
  <c r="O54" i="26" s="1"/>
  <c r="O55" i="26" s="1"/>
  <c r="O56" i="26" s="1"/>
  <c r="O57" i="26" s="1"/>
  <c r="O58" i="26" s="1"/>
  <c r="O59" i="26" s="1"/>
  <c r="O60" i="26" s="1"/>
  <c r="O61" i="26" s="1"/>
  <c r="O62" i="26" s="1"/>
  <c r="O63" i="26" s="1"/>
  <c r="O64" i="26" s="1"/>
  <c r="F11" i="24"/>
  <c r="D32" i="24"/>
  <c r="J31" i="24"/>
  <c r="F13" i="24"/>
  <c r="F29" i="24"/>
  <c r="J30" i="24"/>
  <c r="F10" i="24"/>
  <c r="F10" i="22"/>
  <c r="F11" i="22"/>
  <c r="F110" i="23"/>
  <c r="F13" i="23"/>
  <c r="D33" i="23"/>
  <c r="J32" i="23"/>
  <c r="F10" i="23"/>
  <c r="F11" i="23"/>
  <c r="O29" i="23"/>
  <c r="O30" i="23" s="1"/>
  <c r="O31" i="23" s="1"/>
  <c r="O32" i="23" s="1"/>
  <c r="O33" i="23" s="1"/>
  <c r="O34" i="23" s="1"/>
  <c r="O35" i="23" s="1"/>
  <c r="O36" i="23" s="1"/>
  <c r="O37" i="23" s="1"/>
  <c r="O38" i="23" s="1"/>
  <c r="O39" i="23" s="1"/>
  <c r="O40" i="23" s="1"/>
  <c r="O41" i="23" s="1"/>
  <c r="O42" i="23" s="1"/>
  <c r="O43" i="23" s="1"/>
  <c r="O44" i="23" s="1"/>
  <c r="O45" i="23" s="1"/>
  <c r="O46" i="23" s="1"/>
  <c r="O47" i="23" s="1"/>
  <c r="O48" i="23" s="1"/>
  <c r="O49" i="23" s="1"/>
  <c r="O50" i="23" s="1"/>
  <c r="O51" i="23" s="1"/>
  <c r="O52" i="23" s="1"/>
  <c r="O53" i="23" s="1"/>
  <c r="O54" i="23" s="1"/>
  <c r="O55" i="23" s="1"/>
  <c r="O56" i="23" s="1"/>
  <c r="O57" i="23" s="1"/>
  <c r="O58" i="23" s="1"/>
  <c r="O59" i="23" s="1"/>
  <c r="O60" i="23" s="1"/>
  <c r="O61" i="23" s="1"/>
  <c r="O62" i="23" s="1"/>
  <c r="O63" i="23" s="1"/>
  <c r="O64" i="23" s="1"/>
  <c r="J31" i="23"/>
  <c r="F13" i="22"/>
  <c r="O29" i="22"/>
  <c r="F35" i="22"/>
  <c r="D31" i="22"/>
  <c r="J30" i="22"/>
  <c r="C29" i="22"/>
  <c r="C30" i="22" s="1"/>
  <c r="C31" i="22" s="1"/>
  <c r="C32" i="22" s="1"/>
  <c r="C33" i="22" s="1"/>
  <c r="C34" i="22" s="1"/>
  <c r="C35" i="22" s="1"/>
  <c r="C36" i="22" s="1"/>
  <c r="C37" i="22" s="1"/>
  <c r="C38" i="22" s="1"/>
  <c r="C39" i="22" s="1"/>
  <c r="C40" i="22" s="1"/>
  <c r="C41" i="22" s="1"/>
  <c r="C42" i="22" s="1"/>
  <c r="C43" i="22" s="1"/>
  <c r="C44" i="22" s="1"/>
  <c r="C45" i="22" s="1"/>
  <c r="C46" i="22" s="1"/>
  <c r="C47" i="22" s="1"/>
  <c r="C48" i="22" s="1"/>
  <c r="C49" i="22" s="1"/>
  <c r="C50" i="22" s="1"/>
  <c r="C51" i="22" s="1"/>
  <c r="C52" i="22" s="1"/>
  <c r="C53" i="22" s="1"/>
  <c r="C54" i="22" s="1"/>
  <c r="C55" i="22" s="1"/>
  <c r="C56" i="22" s="1"/>
  <c r="C57" i="22" s="1"/>
  <c r="C58" i="22" s="1"/>
  <c r="C59" i="22" s="1"/>
  <c r="C60" i="22" s="1"/>
  <c r="C61" i="22" s="1"/>
  <c r="C62" i="22" s="1"/>
  <c r="C63" i="22" s="1"/>
  <c r="C64" i="22" s="1"/>
  <c r="F31" i="22"/>
  <c r="F39" i="22"/>
  <c r="F47" i="22"/>
  <c r="F55" i="22"/>
  <c r="F63" i="22"/>
  <c r="F30" i="22"/>
  <c r="F38" i="22"/>
  <c r="F46" i="22"/>
  <c r="F54" i="22"/>
  <c r="F62" i="22"/>
  <c r="F37" i="22"/>
  <c r="F45" i="22"/>
  <c r="F53" i="22"/>
  <c r="F61" i="22"/>
  <c r="F43" i="22"/>
  <c r="F51" i="22"/>
  <c r="F59" i="22"/>
  <c r="F10" i="21"/>
  <c r="F110" i="21"/>
  <c r="D32" i="21"/>
  <c r="J31" i="21"/>
  <c r="F13" i="21"/>
  <c r="F11" i="21"/>
  <c r="O29" i="21"/>
  <c r="O30" i="21" s="1"/>
  <c r="O31" i="21" s="1"/>
  <c r="O32" i="21" s="1"/>
  <c r="O33" i="21" s="1"/>
  <c r="O34" i="21" s="1"/>
  <c r="O35" i="21" s="1"/>
  <c r="O36" i="21" s="1"/>
  <c r="O37" i="21" s="1"/>
  <c r="O38" i="21" s="1"/>
  <c r="O39" i="21" s="1"/>
  <c r="O40" i="21" s="1"/>
  <c r="O41" i="21" s="1"/>
  <c r="O42" i="21" s="1"/>
  <c r="O43" i="21" s="1"/>
  <c r="O44" i="21" s="1"/>
  <c r="O45" i="21" s="1"/>
  <c r="O46" i="21" s="1"/>
  <c r="O47" i="21" s="1"/>
  <c r="O48" i="21" s="1"/>
  <c r="O49" i="21" s="1"/>
  <c r="O50" i="21" s="1"/>
  <c r="O51" i="21" s="1"/>
  <c r="O52" i="21" s="1"/>
  <c r="O53" i="21" s="1"/>
  <c r="O54" i="21" s="1"/>
  <c r="O55" i="21" s="1"/>
  <c r="O56" i="21" s="1"/>
  <c r="O57" i="21" s="1"/>
  <c r="O58" i="21" s="1"/>
  <c r="O59" i="21" s="1"/>
  <c r="O60" i="21" s="1"/>
  <c r="O61" i="21" s="1"/>
  <c r="O62" i="21" s="1"/>
  <c r="O63" i="21" s="1"/>
  <c r="O64" i="21" s="1"/>
  <c r="F10" i="20"/>
  <c r="F110" i="20"/>
  <c r="F13" i="20"/>
  <c r="D31" i="20"/>
  <c r="O29" i="20"/>
  <c r="O30" i="20" s="1"/>
  <c r="O31" i="20" s="1"/>
  <c r="O32" i="20" s="1"/>
  <c r="O33" i="20" s="1"/>
  <c r="O34" i="20" s="1"/>
  <c r="O35" i="20" s="1"/>
  <c r="O36" i="20" s="1"/>
  <c r="O37" i="20" s="1"/>
  <c r="O38" i="20" s="1"/>
  <c r="O39" i="20" s="1"/>
  <c r="O40" i="20" s="1"/>
  <c r="O41" i="20" s="1"/>
  <c r="O42" i="20" s="1"/>
  <c r="O43" i="20" s="1"/>
  <c r="O44" i="20" s="1"/>
  <c r="O45" i="20" s="1"/>
  <c r="O46" i="20" s="1"/>
  <c r="O47" i="20" s="1"/>
  <c r="O48" i="20" s="1"/>
  <c r="O49" i="20" s="1"/>
  <c r="O50" i="20" s="1"/>
  <c r="O51" i="20" s="1"/>
  <c r="O52" i="20" s="1"/>
  <c r="O53" i="20" s="1"/>
  <c r="O54" i="20" s="1"/>
  <c r="O55" i="20" s="1"/>
  <c r="O56" i="20" s="1"/>
  <c r="O57" i="20" s="1"/>
  <c r="O58" i="20" s="1"/>
  <c r="O59" i="20" s="1"/>
  <c r="O60" i="20" s="1"/>
  <c r="O61" i="20" s="1"/>
  <c r="O62" i="20" s="1"/>
  <c r="O63" i="20" s="1"/>
  <c r="O64" i="20" s="1"/>
  <c r="F110" i="19"/>
  <c r="F13" i="19"/>
  <c r="F10" i="19"/>
  <c r="D32" i="19"/>
  <c r="J31" i="19"/>
  <c r="F11" i="19"/>
  <c r="O29" i="19"/>
  <c r="O30" i="19" s="1"/>
  <c r="O31" i="19" s="1"/>
  <c r="O32" i="19" s="1"/>
  <c r="O33" i="19" s="1"/>
  <c r="O34" i="19" s="1"/>
  <c r="O35" i="19" s="1"/>
  <c r="O36" i="19" s="1"/>
  <c r="O37" i="19" s="1"/>
  <c r="O38" i="19" s="1"/>
  <c r="O39" i="19" s="1"/>
  <c r="O40" i="19" s="1"/>
  <c r="O41" i="19" s="1"/>
  <c r="O42" i="19" s="1"/>
  <c r="O43" i="19" s="1"/>
  <c r="O44" i="19" s="1"/>
  <c r="O45" i="19" s="1"/>
  <c r="O46" i="19" s="1"/>
  <c r="O47" i="19" s="1"/>
  <c r="O48" i="19" s="1"/>
  <c r="O49" i="19" s="1"/>
  <c r="O50" i="19" s="1"/>
  <c r="O51" i="19" s="1"/>
  <c r="O52" i="19" s="1"/>
  <c r="O53" i="19" s="1"/>
  <c r="O54" i="19" s="1"/>
  <c r="O55" i="19" s="1"/>
  <c r="O56" i="19" s="1"/>
  <c r="O57" i="19" s="1"/>
  <c r="O58" i="19" s="1"/>
  <c r="O59" i="19" s="1"/>
  <c r="O60" i="19" s="1"/>
  <c r="O61" i="19" s="1"/>
  <c r="O62" i="19" s="1"/>
  <c r="O63" i="19" s="1"/>
  <c r="O64" i="19" s="1"/>
  <c r="F110" i="18"/>
  <c r="F10" i="18"/>
  <c r="F13" i="18"/>
  <c r="D33" i="18"/>
  <c r="J32" i="18"/>
  <c r="F11" i="18"/>
  <c r="O29" i="18"/>
  <c r="O30" i="18" s="1"/>
  <c r="O31" i="18" s="1"/>
  <c r="O32" i="18" s="1"/>
  <c r="O33" i="18" s="1"/>
  <c r="O34" i="18" s="1"/>
  <c r="O35" i="18" s="1"/>
  <c r="O36" i="18" s="1"/>
  <c r="O37" i="18" s="1"/>
  <c r="O38" i="18" s="1"/>
  <c r="O39" i="18" s="1"/>
  <c r="O40" i="18" s="1"/>
  <c r="O41" i="18" s="1"/>
  <c r="O42" i="18" s="1"/>
  <c r="O43" i="18" s="1"/>
  <c r="O44" i="18" s="1"/>
  <c r="O45" i="18" s="1"/>
  <c r="O46" i="18" s="1"/>
  <c r="O47" i="18" s="1"/>
  <c r="O48" i="18" s="1"/>
  <c r="O49" i="18" s="1"/>
  <c r="O50" i="18" s="1"/>
  <c r="O51" i="18" s="1"/>
  <c r="O52" i="18" s="1"/>
  <c r="O53" i="18" s="1"/>
  <c r="O54" i="18" s="1"/>
  <c r="O55" i="18" s="1"/>
  <c r="O56" i="18" s="1"/>
  <c r="O57" i="18" s="1"/>
  <c r="O58" i="18" s="1"/>
  <c r="O59" i="18" s="1"/>
  <c r="O60" i="18" s="1"/>
  <c r="O61" i="18" s="1"/>
  <c r="O62" i="18" s="1"/>
  <c r="O63" i="18" s="1"/>
  <c r="O64" i="18" s="1"/>
  <c r="J31" i="18"/>
  <c r="F13" i="17"/>
  <c r="F10" i="17"/>
  <c r="F11" i="17"/>
  <c r="D32" i="17"/>
  <c r="J31" i="17"/>
  <c r="F110" i="17"/>
  <c r="O29" i="17"/>
  <c r="O30" i="17" s="1"/>
  <c r="O31" i="17" s="1"/>
  <c r="O32" i="17" s="1"/>
  <c r="O33" i="17" s="1"/>
  <c r="O34" i="17" s="1"/>
  <c r="O35" i="17" s="1"/>
  <c r="O36" i="17" s="1"/>
  <c r="O37" i="17" s="1"/>
  <c r="O38" i="17" s="1"/>
  <c r="O39" i="17" s="1"/>
  <c r="O40" i="17" s="1"/>
  <c r="O41" i="17" s="1"/>
  <c r="O42" i="17" s="1"/>
  <c r="O43" i="17" s="1"/>
  <c r="O44" i="17" s="1"/>
  <c r="O45" i="17" s="1"/>
  <c r="O46" i="17" s="1"/>
  <c r="O47" i="17" s="1"/>
  <c r="O48" i="17" s="1"/>
  <c r="O49" i="17" s="1"/>
  <c r="O50" i="17" s="1"/>
  <c r="O51" i="17" s="1"/>
  <c r="O52" i="17" s="1"/>
  <c r="O53" i="17" s="1"/>
  <c r="O54" i="17" s="1"/>
  <c r="O55" i="17" s="1"/>
  <c r="O56" i="17" s="1"/>
  <c r="O57" i="17" s="1"/>
  <c r="O58" i="17" s="1"/>
  <c r="O59" i="17" s="1"/>
  <c r="O60" i="17" s="1"/>
  <c r="O61" i="17" s="1"/>
  <c r="O62" i="17" s="1"/>
  <c r="O63" i="17" s="1"/>
  <c r="O64" i="17" s="1"/>
  <c r="F29" i="14"/>
  <c r="O29" i="14" s="1"/>
  <c r="F13" i="16"/>
  <c r="F11" i="15"/>
  <c r="F110" i="16"/>
  <c r="O29" i="16"/>
  <c r="O30" i="16" s="1"/>
  <c r="O31" i="16" s="1"/>
  <c r="O32" i="16" s="1"/>
  <c r="O33" i="16" s="1"/>
  <c r="O34" i="16" s="1"/>
  <c r="O35" i="16" s="1"/>
  <c r="O36" i="16" s="1"/>
  <c r="O37" i="16" s="1"/>
  <c r="O38" i="16" s="1"/>
  <c r="O39" i="16" s="1"/>
  <c r="O40" i="16" s="1"/>
  <c r="O41" i="16" s="1"/>
  <c r="O42" i="16" s="1"/>
  <c r="O43" i="16" s="1"/>
  <c r="O44" i="16" s="1"/>
  <c r="O45" i="16" s="1"/>
  <c r="O46" i="16" s="1"/>
  <c r="O47" i="16" s="1"/>
  <c r="O48" i="16" s="1"/>
  <c r="O49" i="16" s="1"/>
  <c r="O50" i="16" s="1"/>
  <c r="O51" i="16" s="1"/>
  <c r="O52" i="16" s="1"/>
  <c r="O53" i="16" s="1"/>
  <c r="O54" i="16" s="1"/>
  <c r="O55" i="16" s="1"/>
  <c r="O56" i="16" s="1"/>
  <c r="O57" i="16" s="1"/>
  <c r="O58" i="16" s="1"/>
  <c r="O59" i="16" s="1"/>
  <c r="O60" i="16" s="1"/>
  <c r="O61" i="16" s="1"/>
  <c r="O62" i="16" s="1"/>
  <c r="O63" i="16" s="1"/>
  <c r="O64" i="16" s="1"/>
  <c r="F10" i="16"/>
  <c r="D32" i="16"/>
  <c r="F11" i="16"/>
  <c r="F11" i="14"/>
  <c r="F13" i="15"/>
  <c r="D32" i="15"/>
  <c r="J31" i="15"/>
  <c r="F10" i="15"/>
  <c r="F13" i="14"/>
  <c r="D33" i="14"/>
  <c r="J32" i="14"/>
  <c r="F10" i="14"/>
  <c r="J31" i="14"/>
  <c r="F11" i="13"/>
  <c r="F13" i="13"/>
  <c r="F29" i="13"/>
  <c r="F30" i="13" s="1"/>
  <c r="F31" i="13" s="1"/>
  <c r="F32" i="13" s="1"/>
  <c r="F33" i="13" s="1"/>
  <c r="F34" i="13" s="1"/>
  <c r="F35" i="13" s="1"/>
  <c r="F36" i="13" s="1"/>
  <c r="F37" i="13" s="1"/>
  <c r="F38" i="13" s="1"/>
  <c r="F39" i="13" s="1"/>
  <c r="F40" i="13" s="1"/>
  <c r="F41" i="13" s="1"/>
  <c r="F42" i="13" s="1"/>
  <c r="F43" i="13" s="1"/>
  <c r="F44" i="13" s="1"/>
  <c r="F45" i="13" s="1"/>
  <c r="F46" i="13" s="1"/>
  <c r="F47" i="13" s="1"/>
  <c r="F48" i="13" s="1"/>
  <c r="F49" i="13" s="1"/>
  <c r="F50" i="13" s="1"/>
  <c r="F51" i="13" s="1"/>
  <c r="F52" i="13" s="1"/>
  <c r="F53" i="13" s="1"/>
  <c r="F54" i="13" s="1"/>
  <c r="F55" i="13" s="1"/>
  <c r="F56" i="13" s="1"/>
  <c r="F57" i="13" s="1"/>
  <c r="F58" i="13" s="1"/>
  <c r="F59" i="13" s="1"/>
  <c r="F60" i="13" s="1"/>
  <c r="F61" i="13" s="1"/>
  <c r="F62" i="13" s="1"/>
  <c r="F63" i="13" s="1"/>
  <c r="F64" i="13" s="1"/>
  <c r="D32" i="13"/>
  <c r="J31" i="13"/>
  <c r="F10" i="13"/>
  <c r="F11" i="11"/>
  <c r="F11" i="12"/>
  <c r="F10" i="12"/>
  <c r="D32" i="12"/>
  <c r="J31" i="12"/>
  <c r="F13" i="12"/>
  <c r="F29" i="12"/>
  <c r="J30" i="12"/>
  <c r="C29" i="11"/>
  <c r="C30" i="11" s="1"/>
  <c r="C31" i="11" s="1"/>
  <c r="C32" i="11" s="1"/>
  <c r="C33" i="11" s="1"/>
  <c r="C34" i="11" s="1"/>
  <c r="C35" i="11" s="1"/>
  <c r="C36" i="11" s="1"/>
  <c r="C37" i="11" s="1"/>
  <c r="C38" i="11" s="1"/>
  <c r="C39" i="11" s="1"/>
  <c r="C40" i="11" s="1"/>
  <c r="C41" i="11" s="1"/>
  <c r="C42" i="11" s="1"/>
  <c r="C43" i="11" s="1"/>
  <c r="C44" i="11" s="1"/>
  <c r="C45" i="11" s="1"/>
  <c r="C46" i="11" s="1"/>
  <c r="C47" i="11" s="1"/>
  <c r="C48" i="11" s="1"/>
  <c r="C49" i="11" s="1"/>
  <c r="C50" i="11" s="1"/>
  <c r="C51" i="11" s="1"/>
  <c r="C52" i="11" s="1"/>
  <c r="C53" i="11" s="1"/>
  <c r="C54" i="11" s="1"/>
  <c r="C55" i="11" s="1"/>
  <c r="C56" i="11" s="1"/>
  <c r="C57" i="11" s="1"/>
  <c r="C58" i="11" s="1"/>
  <c r="C59" i="11" s="1"/>
  <c r="C60" i="11" s="1"/>
  <c r="C61" i="11" s="1"/>
  <c r="C62" i="11" s="1"/>
  <c r="C63" i="11" s="1"/>
  <c r="C64" i="11" s="1"/>
  <c r="F10" i="11"/>
  <c r="D32" i="11"/>
  <c r="J31" i="11"/>
  <c r="F13" i="11"/>
  <c r="F29" i="11"/>
  <c r="J30" i="11"/>
  <c r="F22" i="10"/>
  <c r="F11" i="10"/>
  <c r="D31" i="10"/>
  <c r="J30" i="10"/>
  <c r="F10" i="10"/>
  <c r="C29" i="10"/>
  <c r="C30" i="10" s="1"/>
  <c r="C31" i="10" s="1"/>
  <c r="C32" i="10" s="1"/>
  <c r="C33" i="10" s="1"/>
  <c r="C34" i="10" s="1"/>
  <c r="C35" i="10" s="1"/>
  <c r="C36" i="10" s="1"/>
  <c r="C37" i="10" s="1"/>
  <c r="C38" i="10" s="1"/>
  <c r="C39" i="10" s="1"/>
  <c r="C40" i="10" s="1"/>
  <c r="C41" i="10" s="1"/>
  <c r="C42" i="10" s="1"/>
  <c r="C43" i="10" s="1"/>
  <c r="C44" i="10" s="1"/>
  <c r="C45" i="10" s="1"/>
  <c r="C46" i="10" s="1"/>
  <c r="C47" i="10" s="1"/>
  <c r="C48" i="10" s="1"/>
  <c r="C49" i="10" s="1"/>
  <c r="C50" i="10" s="1"/>
  <c r="C51" i="10" s="1"/>
  <c r="C52" i="10" s="1"/>
  <c r="C53" i="10" s="1"/>
  <c r="C54" i="10" s="1"/>
  <c r="C55" i="10" s="1"/>
  <c r="C56" i="10" s="1"/>
  <c r="C57" i="10" s="1"/>
  <c r="C58" i="10" s="1"/>
  <c r="C59" i="10" s="1"/>
  <c r="C60" i="10" s="1"/>
  <c r="C61" i="10" s="1"/>
  <c r="C62" i="10" s="1"/>
  <c r="C63" i="10" s="1"/>
  <c r="C64" i="10" s="1"/>
  <c r="F30" i="10"/>
  <c r="F31" i="10" s="1"/>
  <c r="F32" i="10" s="1"/>
  <c r="F33" i="10" s="1"/>
  <c r="F34" i="10" s="1"/>
  <c r="F35" i="10" s="1"/>
  <c r="F36" i="10" s="1"/>
  <c r="F37" i="10" s="1"/>
  <c r="F38" i="10" s="1"/>
  <c r="F39" i="10" s="1"/>
  <c r="F40" i="10" s="1"/>
  <c r="F41" i="10" s="1"/>
  <c r="F42" i="10" s="1"/>
  <c r="F43" i="10" s="1"/>
  <c r="F44" i="10" s="1"/>
  <c r="F45" i="10" s="1"/>
  <c r="F46" i="10" s="1"/>
  <c r="F47" i="10" s="1"/>
  <c r="F48" i="10" s="1"/>
  <c r="F49" i="10" s="1"/>
  <c r="F50" i="10" s="1"/>
  <c r="F51" i="10" s="1"/>
  <c r="F52" i="10" s="1"/>
  <c r="F53" i="10" s="1"/>
  <c r="F54" i="10" s="1"/>
  <c r="F55" i="10" s="1"/>
  <c r="F56" i="10" s="1"/>
  <c r="F57" i="10" s="1"/>
  <c r="F58" i="10" s="1"/>
  <c r="F59" i="10" s="1"/>
  <c r="F60" i="10" s="1"/>
  <c r="F61" i="10" s="1"/>
  <c r="F62" i="10" s="1"/>
  <c r="F63" i="10" s="1"/>
  <c r="F64" i="10" s="1"/>
  <c r="O29" i="10"/>
  <c r="F13" i="10"/>
  <c r="F11" i="9"/>
  <c r="F13" i="9"/>
  <c r="F29" i="9"/>
  <c r="F30" i="9" s="1"/>
  <c r="F31" i="9" s="1"/>
  <c r="F32" i="9" s="1"/>
  <c r="F33" i="9" s="1"/>
  <c r="F34" i="9" s="1"/>
  <c r="F35" i="9" s="1"/>
  <c r="F36" i="9" s="1"/>
  <c r="F37" i="9" s="1"/>
  <c r="F38" i="9" s="1"/>
  <c r="F39" i="9" s="1"/>
  <c r="F40" i="9" s="1"/>
  <c r="F41" i="9" s="1"/>
  <c r="F42" i="9" s="1"/>
  <c r="F43" i="9" s="1"/>
  <c r="F44" i="9" s="1"/>
  <c r="F45" i="9" s="1"/>
  <c r="F46" i="9" s="1"/>
  <c r="F47" i="9" s="1"/>
  <c r="F48" i="9" s="1"/>
  <c r="F49" i="9" s="1"/>
  <c r="F50" i="9" s="1"/>
  <c r="F51" i="9" s="1"/>
  <c r="F52" i="9" s="1"/>
  <c r="F53" i="9" s="1"/>
  <c r="F54" i="9" s="1"/>
  <c r="F55" i="9" s="1"/>
  <c r="F56" i="9" s="1"/>
  <c r="F57" i="9" s="1"/>
  <c r="F58" i="9" s="1"/>
  <c r="F59" i="9" s="1"/>
  <c r="F60" i="9" s="1"/>
  <c r="F61" i="9" s="1"/>
  <c r="F62" i="9" s="1"/>
  <c r="F63" i="9" s="1"/>
  <c r="F64" i="9" s="1"/>
  <c r="F65" i="9" s="1"/>
  <c r="F66" i="9" s="1"/>
  <c r="F67" i="9" s="1"/>
  <c r="D32" i="9"/>
  <c r="J31" i="9"/>
  <c r="F10" i="9"/>
  <c r="F11" i="8"/>
  <c r="F13" i="8"/>
  <c r="F29" i="8"/>
  <c r="F30" i="8" s="1"/>
  <c r="F31" i="8" s="1"/>
  <c r="F32" i="8" s="1"/>
  <c r="F33" i="8" s="1"/>
  <c r="F34" i="8" s="1"/>
  <c r="F35" i="8" s="1"/>
  <c r="F36" i="8" s="1"/>
  <c r="F37" i="8" s="1"/>
  <c r="F38" i="8" s="1"/>
  <c r="F39" i="8" s="1"/>
  <c r="F40" i="8" s="1"/>
  <c r="D33" i="8"/>
  <c r="J32" i="8"/>
  <c r="J31" i="8"/>
  <c r="F10" i="8"/>
  <c r="F13" i="7"/>
  <c r="F29" i="7"/>
  <c r="F30" i="7" s="1"/>
  <c r="F31" i="7" s="1"/>
  <c r="F32" i="7" s="1"/>
  <c r="F33" i="7" s="1"/>
  <c r="F34" i="7" s="1"/>
  <c r="F35" i="7" s="1"/>
  <c r="F36" i="7" s="1"/>
  <c r="F37" i="7" s="1"/>
  <c r="F38" i="7" s="1"/>
  <c r="F39" i="7" s="1"/>
  <c r="F40" i="7" s="1"/>
  <c r="F41" i="7" s="1"/>
  <c r="F42" i="7" s="1"/>
  <c r="F43" i="7" s="1"/>
  <c r="F44" i="7" s="1"/>
  <c r="F45" i="7" s="1"/>
  <c r="F46" i="7" s="1"/>
  <c r="F47" i="7" s="1"/>
  <c r="F48" i="7" s="1"/>
  <c r="F49" i="7" s="1"/>
  <c r="F50" i="7" s="1"/>
  <c r="F51" i="7" s="1"/>
  <c r="F52" i="7" s="1"/>
  <c r="F53" i="7" s="1"/>
  <c r="F54" i="7" s="1"/>
  <c r="F55" i="7" s="1"/>
  <c r="F56" i="7" s="1"/>
  <c r="F57" i="7" s="1"/>
  <c r="F58" i="7" s="1"/>
  <c r="F59" i="7" s="1"/>
  <c r="F60" i="7" s="1"/>
  <c r="F61" i="7" s="1"/>
  <c r="F62" i="7" s="1"/>
  <c r="F63" i="7" s="1"/>
  <c r="F64" i="7" s="1"/>
  <c r="F11" i="7"/>
  <c r="D32" i="7"/>
  <c r="J31" i="7"/>
  <c r="F10" i="7"/>
  <c r="F11" i="6"/>
  <c r="F13" i="6"/>
  <c r="F29" i="6"/>
  <c r="F30" i="6" s="1"/>
  <c r="F31" i="6" s="1"/>
  <c r="F32" i="6" s="1"/>
  <c r="F33" i="6" s="1"/>
  <c r="F34" i="6" s="1"/>
  <c r="F35" i="6" s="1"/>
  <c r="F36" i="6" s="1"/>
  <c r="F37" i="6" s="1"/>
  <c r="F38" i="6" s="1"/>
  <c r="F39" i="6" s="1"/>
  <c r="F40" i="6" s="1"/>
  <c r="F41" i="6" s="1"/>
  <c r="F42" i="6" s="1"/>
  <c r="F43" i="6" s="1"/>
  <c r="F44" i="6" s="1"/>
  <c r="F45" i="6" s="1"/>
  <c r="F46" i="6" s="1"/>
  <c r="F47" i="6" s="1"/>
  <c r="F48" i="6" s="1"/>
  <c r="F49" i="6" s="1"/>
  <c r="F50" i="6" s="1"/>
  <c r="F51" i="6" s="1"/>
  <c r="F52" i="6" s="1"/>
  <c r="F53" i="6" s="1"/>
  <c r="F54" i="6" s="1"/>
  <c r="F55" i="6" s="1"/>
  <c r="F56" i="6" s="1"/>
  <c r="F57" i="6" s="1"/>
  <c r="F58" i="6" s="1"/>
  <c r="F59" i="6" s="1"/>
  <c r="F60" i="6" s="1"/>
  <c r="F61" i="6" s="1"/>
  <c r="F62" i="6" s="1"/>
  <c r="F63" i="6" s="1"/>
  <c r="F64" i="6" s="1"/>
  <c r="D32" i="6"/>
  <c r="J31" i="6"/>
  <c r="F10" i="6"/>
  <c r="F11" i="5"/>
  <c r="F13" i="5"/>
  <c r="F29" i="5"/>
  <c r="F30" i="5" s="1"/>
  <c r="F31" i="5" s="1"/>
  <c r="F32" i="5" s="1"/>
  <c r="F33" i="5" s="1"/>
  <c r="F34" i="5" s="1"/>
  <c r="F35" i="5" s="1"/>
  <c r="F36" i="5" s="1"/>
  <c r="F37" i="5" s="1"/>
  <c r="F38" i="5" s="1"/>
  <c r="F39" i="5" s="1"/>
  <c r="F40" i="5" s="1"/>
  <c r="D32" i="5"/>
  <c r="J31" i="5"/>
  <c r="F10" i="5"/>
  <c r="F13" i="3"/>
  <c r="F11" i="4"/>
  <c r="C29" i="4"/>
  <c r="C30" i="4" s="1"/>
  <c r="C31" i="4" s="1"/>
  <c r="C32" i="4" s="1"/>
  <c r="C33" i="4" s="1"/>
  <c r="C34" i="4" s="1"/>
  <c r="C35" i="4" s="1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C54" i="4" s="1"/>
  <c r="C55" i="4" s="1"/>
  <c r="C56" i="4" s="1"/>
  <c r="C57" i="4" s="1"/>
  <c r="C58" i="4" s="1"/>
  <c r="C59" i="4" s="1"/>
  <c r="C60" i="4" s="1"/>
  <c r="C61" i="4" s="1"/>
  <c r="C62" i="4" s="1"/>
  <c r="C63" i="4" s="1"/>
  <c r="C64" i="4" s="1"/>
  <c r="F10" i="4"/>
  <c r="D37" i="4"/>
  <c r="J36" i="4"/>
  <c r="F22" i="4"/>
  <c r="F29" i="4"/>
  <c r="J34" i="4"/>
  <c r="F13" i="4"/>
  <c r="I6" i="33" a="1"/>
  <c r="G123" i="5"/>
  <c r="G129" i="5"/>
  <c r="G119" i="5"/>
  <c r="G130" i="5"/>
  <c r="I13" i="33" a="1"/>
  <c r="G129" i="13"/>
  <c r="I19" i="33" a="1"/>
  <c r="G129" i="20"/>
  <c r="G130" i="20"/>
  <c r="I9" i="33" a="1"/>
  <c r="G129" i="9"/>
  <c r="I22" i="33" a="1"/>
  <c r="G129" i="23"/>
  <c r="G130" i="23"/>
  <c r="I27" i="33" a="1"/>
  <c r="G129" i="28"/>
  <c r="G130" i="28"/>
  <c r="I18" i="33" a="1"/>
  <c r="G130" i="19"/>
  <c r="G129" i="19"/>
  <c r="I21" i="33" a="1"/>
  <c r="G130" i="22"/>
  <c r="G129" i="22"/>
  <c r="I10" i="33" a="1"/>
  <c r="G129" i="10"/>
  <c r="I15" i="33" a="1"/>
  <c r="G129" i="15"/>
  <c r="I8" i="33" a="1"/>
  <c r="G129" i="7"/>
  <c r="I24" i="33" a="1"/>
  <c r="G129" i="26"/>
  <c r="G130" i="26"/>
  <c r="I17" i="33" a="1"/>
  <c r="G130" i="18"/>
  <c r="G129" i="18"/>
  <c r="I28" i="33" a="1"/>
  <c r="G129" i="29"/>
  <c r="G130" i="29"/>
  <c r="G130" i="14"/>
  <c r="G123" i="14"/>
  <c r="I7" i="33" a="1"/>
  <c r="G129" i="6"/>
  <c r="I20" i="33" a="1"/>
  <c r="G129" i="21"/>
  <c r="G130" i="21"/>
  <c r="I16" i="33" a="1"/>
  <c r="G129" i="17"/>
  <c r="G130" i="17"/>
  <c r="I5" i="33" a="1"/>
  <c r="G123" i="8"/>
  <c r="G129" i="8"/>
  <c r="G130" i="8"/>
  <c r="I16" i="33" l="1"/>
  <c r="I20" i="33"/>
  <c r="I7" i="33"/>
  <c r="I28" i="33"/>
  <c r="I17" i="33"/>
  <c r="I24" i="33"/>
  <c r="I8" i="33"/>
  <c r="I15" i="33"/>
  <c r="I10" i="33"/>
  <c r="I21" i="33"/>
  <c r="I18" i="33"/>
  <c r="I27" i="33"/>
  <c r="I22" i="33"/>
  <c r="I9" i="33"/>
  <c r="I19" i="33"/>
  <c r="I13" i="33"/>
  <c r="F123" i="5"/>
  <c r="I6" i="33"/>
  <c r="C65" i="4"/>
  <c r="C66" i="4" s="1"/>
  <c r="C67" i="4" s="1"/>
  <c r="C68" i="4" s="1"/>
  <c r="C69" i="4" s="1"/>
  <c r="C70" i="4" s="1"/>
  <c r="C71" i="4" s="1"/>
  <c r="C72" i="4" s="1"/>
  <c r="C73" i="4" s="1"/>
  <c r="C74" i="4" s="1"/>
  <c r="C75" i="4" s="1"/>
  <c r="C76" i="4" s="1"/>
  <c r="C77" i="4" s="1"/>
  <c r="C78" i="4" s="1"/>
  <c r="C79" i="4" s="1"/>
  <c r="C80" i="4" s="1"/>
  <c r="C81" i="4" s="1"/>
  <c r="C82" i="4" s="1"/>
  <c r="C83" i="4" s="1"/>
  <c r="C84" i="4" s="1"/>
  <c r="C85" i="4" s="1"/>
  <c r="C86" i="4" s="1"/>
  <c r="C87" i="4" s="1"/>
  <c r="C88" i="4" s="1"/>
  <c r="C89" i="4" s="1"/>
  <c r="C90" i="4" s="1"/>
  <c r="C91" i="4" s="1"/>
  <c r="C92" i="4" s="1"/>
  <c r="C93" i="4" s="1"/>
  <c r="C94" i="4" s="1"/>
  <c r="C95" i="4" s="1"/>
  <c r="C96" i="4" s="1"/>
  <c r="C97" i="4" s="1"/>
  <c r="C98" i="4" s="1"/>
  <c r="C99" i="4" s="1"/>
  <c r="C100" i="4" s="1"/>
  <c r="C101" i="4" s="1"/>
  <c r="C102" i="4" s="1"/>
  <c r="C103" i="4" s="1"/>
  <c r="C104" i="4" s="1"/>
  <c r="C105" i="4" s="1"/>
  <c r="C106" i="4" s="1"/>
  <c r="C107" i="4" s="1"/>
  <c r="C65" i="17"/>
  <c r="C66" i="17" s="1"/>
  <c r="C67" i="17" s="1"/>
  <c r="C68" i="17" s="1"/>
  <c r="C69" i="17" s="1"/>
  <c r="C70" i="17" s="1"/>
  <c r="C71" i="17" s="1"/>
  <c r="C72" i="17" s="1"/>
  <c r="C73" i="17" s="1"/>
  <c r="C74" i="17" s="1"/>
  <c r="C75" i="17" s="1"/>
  <c r="C76" i="17" s="1"/>
  <c r="C77" i="17" s="1"/>
  <c r="C78" i="17" s="1"/>
  <c r="C79" i="17" s="1"/>
  <c r="C80" i="17" s="1"/>
  <c r="C81" i="17" s="1"/>
  <c r="C82" i="17" s="1"/>
  <c r="C83" i="17" s="1"/>
  <c r="C84" i="17" s="1"/>
  <c r="C85" i="17" s="1"/>
  <c r="C86" i="17" s="1"/>
  <c r="C87" i="17" s="1"/>
  <c r="C88" i="17" s="1"/>
  <c r="C89" i="17" s="1"/>
  <c r="C90" i="17" s="1"/>
  <c r="C91" i="17" s="1"/>
  <c r="C92" i="17" s="1"/>
  <c r="C93" i="17" s="1"/>
  <c r="C94" i="17" s="1"/>
  <c r="C95" i="17" s="1"/>
  <c r="C96" i="17" s="1"/>
  <c r="C97" i="17" s="1"/>
  <c r="C98" i="17" s="1"/>
  <c r="C99" i="17" s="1"/>
  <c r="C100" i="17" s="1"/>
  <c r="C101" i="17" s="1"/>
  <c r="C102" i="17" s="1"/>
  <c r="C103" i="17" s="1"/>
  <c r="C104" i="17" s="1"/>
  <c r="C105" i="17" s="1"/>
  <c r="C106" i="17" s="1"/>
  <c r="C107" i="17" s="1"/>
  <c r="C65" i="21"/>
  <c r="C66" i="21" s="1"/>
  <c r="C67" i="21" s="1"/>
  <c r="C68" i="21" s="1"/>
  <c r="C69" i="21" s="1"/>
  <c r="C70" i="21" s="1"/>
  <c r="C71" i="21" s="1"/>
  <c r="C72" i="21" s="1"/>
  <c r="C73" i="21" s="1"/>
  <c r="C74" i="21" s="1"/>
  <c r="C75" i="21" s="1"/>
  <c r="C76" i="21" s="1"/>
  <c r="C77" i="21" s="1"/>
  <c r="C78" i="21" s="1"/>
  <c r="C79" i="21" s="1"/>
  <c r="C80" i="21" s="1"/>
  <c r="C81" i="21" s="1"/>
  <c r="C82" i="21" s="1"/>
  <c r="C83" i="21" s="1"/>
  <c r="C84" i="21" s="1"/>
  <c r="C85" i="21" s="1"/>
  <c r="C86" i="21" s="1"/>
  <c r="C87" i="21" s="1"/>
  <c r="C88" i="21" s="1"/>
  <c r="C89" i="21" s="1"/>
  <c r="C90" i="21" s="1"/>
  <c r="C91" i="21" s="1"/>
  <c r="C92" i="21" s="1"/>
  <c r="C93" i="21" s="1"/>
  <c r="C94" i="21" s="1"/>
  <c r="C95" i="21" s="1"/>
  <c r="C96" i="21" s="1"/>
  <c r="C97" i="21" s="1"/>
  <c r="C98" i="21" s="1"/>
  <c r="C99" i="21" s="1"/>
  <c r="C100" i="21" s="1"/>
  <c r="C101" i="21" s="1"/>
  <c r="C102" i="21" s="1"/>
  <c r="C103" i="21" s="1"/>
  <c r="C104" i="21" s="1"/>
  <c r="C105" i="21" s="1"/>
  <c r="C106" i="21" s="1"/>
  <c r="C107" i="21" s="1"/>
  <c r="C65" i="6"/>
  <c r="C66" i="6" s="1"/>
  <c r="C67" i="6" s="1"/>
  <c r="C68" i="6" s="1"/>
  <c r="C69" i="6" s="1"/>
  <c r="C70" i="6" s="1"/>
  <c r="C71" i="6" s="1"/>
  <c r="C72" i="6" s="1"/>
  <c r="C73" i="6" s="1"/>
  <c r="C74" i="6" s="1"/>
  <c r="C75" i="6" s="1"/>
  <c r="C76" i="6" s="1"/>
  <c r="C77" i="6" s="1"/>
  <c r="C78" i="6" s="1"/>
  <c r="C79" i="6" s="1"/>
  <c r="C80" i="6" s="1"/>
  <c r="C81" i="6" s="1"/>
  <c r="C82" i="6" s="1"/>
  <c r="C83" i="6" s="1"/>
  <c r="C84" i="6" s="1"/>
  <c r="C85" i="6" s="1"/>
  <c r="C86" i="6" s="1"/>
  <c r="C87" i="6" s="1"/>
  <c r="C88" i="6" s="1"/>
  <c r="C89" i="6" s="1"/>
  <c r="C90" i="6" s="1"/>
  <c r="C91" i="6" s="1"/>
  <c r="C92" i="6" s="1"/>
  <c r="C93" i="6" s="1"/>
  <c r="C94" i="6" s="1"/>
  <c r="C95" i="6" s="1"/>
  <c r="C96" i="6" s="1"/>
  <c r="C65" i="14"/>
  <c r="C66" i="14" s="1"/>
  <c r="C67" i="14" s="1"/>
  <c r="C68" i="14" s="1"/>
  <c r="C69" i="14" s="1"/>
  <c r="C70" i="14" s="1"/>
  <c r="C71" i="14" s="1"/>
  <c r="C72" i="14" s="1"/>
  <c r="C73" i="14" s="1"/>
  <c r="C74" i="14" s="1"/>
  <c r="C75" i="14" s="1"/>
  <c r="C76" i="14" s="1"/>
  <c r="C77" i="14" s="1"/>
  <c r="C78" i="14" s="1"/>
  <c r="C79" i="14" s="1"/>
  <c r="C80" i="14" s="1"/>
  <c r="C81" i="14" s="1"/>
  <c r="C82" i="14" s="1"/>
  <c r="C83" i="14" s="1"/>
  <c r="C84" i="14" s="1"/>
  <c r="C85" i="14" s="1"/>
  <c r="C86" i="14" s="1"/>
  <c r="C87" i="14" s="1"/>
  <c r="C88" i="14" s="1"/>
  <c r="C89" i="14" s="1"/>
  <c r="C90" i="14" s="1"/>
  <c r="C91" i="14" s="1"/>
  <c r="C92" i="14" s="1"/>
  <c r="C93" i="14" s="1"/>
  <c r="C94" i="14" s="1"/>
  <c r="C95" i="14" s="1"/>
  <c r="C96" i="14" s="1"/>
  <c r="C97" i="14" s="1"/>
  <c r="C98" i="14" s="1"/>
  <c r="C99" i="14" s="1"/>
  <c r="C100" i="14" s="1"/>
  <c r="C101" i="14" s="1"/>
  <c r="C102" i="14" s="1"/>
  <c r="C103" i="14" s="1"/>
  <c r="C104" i="14" s="1"/>
  <c r="C105" i="14" s="1"/>
  <c r="C106" i="14" s="1"/>
  <c r="C107" i="14" s="1"/>
  <c r="C65" i="29"/>
  <c r="C66" i="29" s="1"/>
  <c r="C67" i="29" s="1"/>
  <c r="C68" i="29" s="1"/>
  <c r="C69" i="29" s="1"/>
  <c r="C70" i="29" s="1"/>
  <c r="C71" i="29" s="1"/>
  <c r="C72" i="29" s="1"/>
  <c r="C73" i="29" s="1"/>
  <c r="C74" i="29" s="1"/>
  <c r="C75" i="29" s="1"/>
  <c r="C76" i="29" s="1"/>
  <c r="C77" i="29" s="1"/>
  <c r="C78" i="29" s="1"/>
  <c r="C79" i="29" s="1"/>
  <c r="C80" i="29" s="1"/>
  <c r="C81" i="29" s="1"/>
  <c r="C82" i="29" s="1"/>
  <c r="C83" i="29" s="1"/>
  <c r="C84" i="29" s="1"/>
  <c r="C85" i="29" s="1"/>
  <c r="C86" i="29" s="1"/>
  <c r="C87" i="29" s="1"/>
  <c r="C88" i="29" s="1"/>
  <c r="C89" i="29" s="1"/>
  <c r="C90" i="29" s="1"/>
  <c r="C91" i="29" s="1"/>
  <c r="C92" i="29" s="1"/>
  <c r="C93" i="29" s="1"/>
  <c r="C94" i="29" s="1"/>
  <c r="C95" i="29" s="1"/>
  <c r="C96" i="29" s="1"/>
  <c r="C97" i="29" s="1"/>
  <c r="C98" i="29" s="1"/>
  <c r="C99" i="29" s="1"/>
  <c r="C100" i="29" s="1"/>
  <c r="C101" i="29" s="1"/>
  <c r="C102" i="29" s="1"/>
  <c r="C103" i="29" s="1"/>
  <c r="C104" i="29" s="1"/>
  <c r="C105" i="29" s="1"/>
  <c r="C106" i="29" s="1"/>
  <c r="C107" i="29" s="1"/>
  <c r="C65" i="18"/>
  <c r="C66" i="18" s="1"/>
  <c r="C67" i="18" s="1"/>
  <c r="C68" i="18" s="1"/>
  <c r="C69" i="18" s="1"/>
  <c r="C70" i="18" s="1"/>
  <c r="C71" i="18" s="1"/>
  <c r="C72" i="18" s="1"/>
  <c r="C73" i="18" s="1"/>
  <c r="C74" i="18" s="1"/>
  <c r="C75" i="18" s="1"/>
  <c r="C76" i="18" s="1"/>
  <c r="C77" i="18" s="1"/>
  <c r="C78" i="18" s="1"/>
  <c r="C79" i="18" s="1"/>
  <c r="C80" i="18" s="1"/>
  <c r="C81" i="18" s="1"/>
  <c r="C82" i="18" s="1"/>
  <c r="C83" i="18" s="1"/>
  <c r="C84" i="18" s="1"/>
  <c r="C85" i="18" s="1"/>
  <c r="C86" i="18" s="1"/>
  <c r="C87" i="18" s="1"/>
  <c r="C88" i="18" s="1"/>
  <c r="C89" i="18" s="1"/>
  <c r="C90" i="18" s="1"/>
  <c r="C91" i="18" s="1"/>
  <c r="C92" i="18" s="1"/>
  <c r="C93" i="18" s="1"/>
  <c r="C94" i="18" s="1"/>
  <c r="C95" i="18" s="1"/>
  <c r="C96" i="18" s="1"/>
  <c r="C97" i="18" s="1"/>
  <c r="C98" i="18" s="1"/>
  <c r="C99" i="18" s="1"/>
  <c r="C100" i="18" s="1"/>
  <c r="C101" i="18" s="1"/>
  <c r="C102" i="18" s="1"/>
  <c r="C103" i="18" s="1"/>
  <c r="C104" i="18" s="1"/>
  <c r="C105" i="18" s="1"/>
  <c r="C106" i="18" s="1"/>
  <c r="C107" i="18" s="1"/>
  <c r="C65" i="26"/>
  <c r="C66" i="26" s="1"/>
  <c r="C67" i="26" s="1"/>
  <c r="C68" i="26" s="1"/>
  <c r="C69" i="26" s="1"/>
  <c r="C70" i="26" s="1"/>
  <c r="C71" i="26" s="1"/>
  <c r="C72" i="26" s="1"/>
  <c r="C73" i="26" s="1"/>
  <c r="C74" i="26" s="1"/>
  <c r="C75" i="26" s="1"/>
  <c r="C76" i="26" s="1"/>
  <c r="C77" i="26" s="1"/>
  <c r="C78" i="26" s="1"/>
  <c r="C79" i="26" s="1"/>
  <c r="C80" i="26" s="1"/>
  <c r="C81" i="26" s="1"/>
  <c r="C82" i="26" s="1"/>
  <c r="C83" i="26" s="1"/>
  <c r="C84" i="26" s="1"/>
  <c r="C85" i="26" s="1"/>
  <c r="C86" i="26" s="1"/>
  <c r="C87" i="26" s="1"/>
  <c r="C88" i="26" s="1"/>
  <c r="C89" i="26" s="1"/>
  <c r="C90" i="26" s="1"/>
  <c r="C91" i="26" s="1"/>
  <c r="C92" i="26" s="1"/>
  <c r="C93" i="26" s="1"/>
  <c r="C94" i="26" s="1"/>
  <c r="C95" i="26" s="1"/>
  <c r="C96" i="26" s="1"/>
  <c r="C97" i="26" s="1"/>
  <c r="C98" i="26" s="1"/>
  <c r="C99" i="26" s="1"/>
  <c r="C100" i="26" s="1"/>
  <c r="C101" i="26" s="1"/>
  <c r="C102" i="26" s="1"/>
  <c r="C103" i="26" s="1"/>
  <c r="C104" i="26" s="1"/>
  <c r="C105" i="26" s="1"/>
  <c r="C106" i="26" s="1"/>
  <c r="C107" i="26" s="1"/>
  <c r="C65" i="7"/>
  <c r="C66" i="7" s="1"/>
  <c r="C67" i="7" s="1"/>
  <c r="C68" i="7" s="1"/>
  <c r="C69" i="7" s="1"/>
  <c r="C70" i="7" s="1"/>
  <c r="C71" i="7" s="1"/>
  <c r="C72" i="7" s="1"/>
  <c r="C73" i="7" s="1"/>
  <c r="C74" i="7" s="1"/>
  <c r="C75" i="7" s="1"/>
  <c r="C76" i="7" s="1"/>
  <c r="C77" i="7" s="1"/>
  <c r="C78" i="7" s="1"/>
  <c r="C79" i="7" s="1"/>
  <c r="C80" i="7" s="1"/>
  <c r="C81" i="7" s="1"/>
  <c r="C82" i="7" s="1"/>
  <c r="C83" i="7" s="1"/>
  <c r="C84" i="7" s="1"/>
  <c r="C85" i="7" s="1"/>
  <c r="C86" i="7" s="1"/>
  <c r="C87" i="7" s="1"/>
  <c r="C88" i="7" s="1"/>
  <c r="C89" i="7" s="1"/>
  <c r="C90" i="7" s="1"/>
  <c r="C91" i="7" s="1"/>
  <c r="C92" i="7" s="1"/>
  <c r="C93" i="7" s="1"/>
  <c r="C94" i="7" s="1"/>
  <c r="C95" i="7" s="1"/>
  <c r="C96" i="7" s="1"/>
  <c r="C65" i="15"/>
  <c r="C65" i="10"/>
  <c r="C66" i="10" s="1"/>
  <c r="C67" i="10" s="1"/>
  <c r="C68" i="10" s="1"/>
  <c r="C69" i="10" s="1"/>
  <c r="C70" i="10" s="1"/>
  <c r="C71" i="10" s="1"/>
  <c r="C72" i="10" s="1"/>
  <c r="C73" i="10" s="1"/>
  <c r="C74" i="10" s="1"/>
  <c r="C75" i="10" s="1"/>
  <c r="C76" i="10" s="1"/>
  <c r="C77" i="10" s="1"/>
  <c r="C78" i="10" s="1"/>
  <c r="C79" i="10" s="1"/>
  <c r="C80" i="10" s="1"/>
  <c r="C81" i="10" s="1"/>
  <c r="C82" i="10" s="1"/>
  <c r="C83" i="10" s="1"/>
  <c r="C84" i="10" s="1"/>
  <c r="C85" i="10" s="1"/>
  <c r="C86" i="10" s="1"/>
  <c r="C87" i="10" s="1"/>
  <c r="C88" i="10" s="1"/>
  <c r="C89" i="10" s="1"/>
  <c r="C90" i="10" s="1"/>
  <c r="C91" i="10" s="1"/>
  <c r="C92" i="10" s="1"/>
  <c r="C93" i="10" s="1"/>
  <c r="C94" i="10" s="1"/>
  <c r="C95" i="10" s="1"/>
  <c r="C96" i="10" s="1"/>
  <c r="C65" i="22"/>
  <c r="C66" i="22" s="1"/>
  <c r="C67" i="22" s="1"/>
  <c r="C68" i="22" s="1"/>
  <c r="C69" i="22" s="1"/>
  <c r="C70" i="22" s="1"/>
  <c r="C71" i="22" s="1"/>
  <c r="C72" i="22" s="1"/>
  <c r="C73" i="22" s="1"/>
  <c r="C74" i="22" s="1"/>
  <c r="C75" i="22" s="1"/>
  <c r="C76" i="22" s="1"/>
  <c r="C77" i="22" s="1"/>
  <c r="C78" i="22" s="1"/>
  <c r="C79" i="22" s="1"/>
  <c r="C80" i="22" s="1"/>
  <c r="C81" i="22" s="1"/>
  <c r="C82" i="22" s="1"/>
  <c r="C83" i="22" s="1"/>
  <c r="C84" i="22" s="1"/>
  <c r="C85" i="22" s="1"/>
  <c r="C86" i="22" s="1"/>
  <c r="C87" i="22" s="1"/>
  <c r="C88" i="22" s="1"/>
  <c r="C89" i="22" s="1"/>
  <c r="C90" i="22" s="1"/>
  <c r="C91" i="22" s="1"/>
  <c r="C92" i="22" s="1"/>
  <c r="C93" i="22" s="1"/>
  <c r="C94" i="22" s="1"/>
  <c r="C95" i="22" s="1"/>
  <c r="C96" i="22" s="1"/>
  <c r="C97" i="22" s="1"/>
  <c r="C98" i="22" s="1"/>
  <c r="C99" i="22" s="1"/>
  <c r="C100" i="22" s="1"/>
  <c r="C101" i="22" s="1"/>
  <c r="C102" i="22" s="1"/>
  <c r="C103" i="22" s="1"/>
  <c r="C104" i="22" s="1"/>
  <c r="C105" i="22" s="1"/>
  <c r="C106" i="22" s="1"/>
  <c r="C107" i="22" s="1"/>
  <c r="C65" i="19"/>
  <c r="C66" i="19" s="1"/>
  <c r="C67" i="19" s="1"/>
  <c r="C68" i="19" s="1"/>
  <c r="C69" i="19" s="1"/>
  <c r="C70" i="19" s="1"/>
  <c r="C71" i="19" s="1"/>
  <c r="C72" i="19" s="1"/>
  <c r="C73" i="19" s="1"/>
  <c r="C74" i="19" s="1"/>
  <c r="C75" i="19" s="1"/>
  <c r="C76" i="19" s="1"/>
  <c r="C77" i="19" s="1"/>
  <c r="C78" i="19" s="1"/>
  <c r="C79" i="19" s="1"/>
  <c r="C80" i="19" s="1"/>
  <c r="C81" i="19" s="1"/>
  <c r="C82" i="19" s="1"/>
  <c r="C83" i="19" s="1"/>
  <c r="C84" i="19" s="1"/>
  <c r="C85" i="19" s="1"/>
  <c r="C86" i="19" s="1"/>
  <c r="C87" i="19" s="1"/>
  <c r="C88" i="19" s="1"/>
  <c r="C89" i="19" s="1"/>
  <c r="C90" i="19" s="1"/>
  <c r="C91" i="19" s="1"/>
  <c r="C92" i="19" s="1"/>
  <c r="C93" i="19" s="1"/>
  <c r="C94" i="19" s="1"/>
  <c r="C95" i="19" s="1"/>
  <c r="C96" i="19" s="1"/>
  <c r="C97" i="19" s="1"/>
  <c r="C98" i="19" s="1"/>
  <c r="C99" i="19" s="1"/>
  <c r="C100" i="19" s="1"/>
  <c r="C101" i="19" s="1"/>
  <c r="C102" i="19" s="1"/>
  <c r="C103" i="19" s="1"/>
  <c r="C104" i="19" s="1"/>
  <c r="C105" i="19" s="1"/>
  <c r="C106" i="19" s="1"/>
  <c r="C107" i="19" s="1"/>
  <c r="C65" i="28"/>
  <c r="C66" i="28" s="1"/>
  <c r="C67" i="28" s="1"/>
  <c r="C68" i="28" s="1"/>
  <c r="C69" i="28" s="1"/>
  <c r="C70" i="28" s="1"/>
  <c r="C71" i="28" s="1"/>
  <c r="C72" i="28" s="1"/>
  <c r="C73" i="28" s="1"/>
  <c r="C74" i="28" s="1"/>
  <c r="C75" i="28" s="1"/>
  <c r="C76" i="28" s="1"/>
  <c r="C77" i="28" s="1"/>
  <c r="C78" i="28" s="1"/>
  <c r="C79" i="28" s="1"/>
  <c r="C80" i="28" s="1"/>
  <c r="C81" i="28" s="1"/>
  <c r="C82" i="28" s="1"/>
  <c r="C83" i="28" s="1"/>
  <c r="C84" i="28" s="1"/>
  <c r="C85" i="28" s="1"/>
  <c r="C86" i="28" s="1"/>
  <c r="C87" i="28" s="1"/>
  <c r="C88" i="28" s="1"/>
  <c r="C89" i="28" s="1"/>
  <c r="C90" i="28" s="1"/>
  <c r="C91" i="28" s="1"/>
  <c r="C92" i="28" s="1"/>
  <c r="C93" i="28" s="1"/>
  <c r="C94" i="28" s="1"/>
  <c r="C95" i="28" s="1"/>
  <c r="C96" i="28" s="1"/>
  <c r="C97" i="28" s="1"/>
  <c r="C98" i="28" s="1"/>
  <c r="C99" i="28" s="1"/>
  <c r="C100" i="28" s="1"/>
  <c r="C101" i="28" s="1"/>
  <c r="C102" i="28" s="1"/>
  <c r="C103" i="28" s="1"/>
  <c r="C104" i="28" s="1"/>
  <c r="C105" i="28" s="1"/>
  <c r="C106" i="28" s="1"/>
  <c r="C107" i="28" s="1"/>
  <c r="C65" i="27"/>
  <c r="C66" i="27" s="1"/>
  <c r="C67" i="27" s="1"/>
  <c r="C68" i="27" s="1"/>
  <c r="C69" i="27" s="1"/>
  <c r="C70" i="27" s="1"/>
  <c r="C71" i="27" s="1"/>
  <c r="C72" i="27" s="1"/>
  <c r="C73" i="27" s="1"/>
  <c r="C74" i="27" s="1"/>
  <c r="C75" i="27" s="1"/>
  <c r="C76" i="27" s="1"/>
  <c r="C77" i="27" s="1"/>
  <c r="C78" i="27" s="1"/>
  <c r="C79" i="27" s="1"/>
  <c r="C80" i="27" s="1"/>
  <c r="C81" i="27" s="1"/>
  <c r="C82" i="27" s="1"/>
  <c r="C83" i="27" s="1"/>
  <c r="C84" i="27" s="1"/>
  <c r="C85" i="27" s="1"/>
  <c r="C86" i="27" s="1"/>
  <c r="C87" i="27" s="1"/>
  <c r="C88" i="27" s="1"/>
  <c r="C89" i="27" s="1"/>
  <c r="C90" i="27" s="1"/>
  <c r="C91" i="27" s="1"/>
  <c r="C92" i="27" s="1"/>
  <c r="C93" i="27" s="1"/>
  <c r="C94" i="27" s="1"/>
  <c r="C95" i="27" s="1"/>
  <c r="C96" i="27" s="1"/>
  <c r="C97" i="27" s="1"/>
  <c r="C98" i="27" s="1"/>
  <c r="C99" i="27" s="1"/>
  <c r="C100" i="27" s="1"/>
  <c r="C101" i="27" s="1"/>
  <c r="C102" i="27" s="1"/>
  <c r="C103" i="27" s="1"/>
  <c r="C104" i="27" s="1"/>
  <c r="C105" i="27" s="1"/>
  <c r="C106" i="27" s="1"/>
  <c r="C107" i="27" s="1"/>
  <c r="C65" i="23"/>
  <c r="C66" i="23" s="1"/>
  <c r="C67" i="23" s="1"/>
  <c r="C68" i="23" s="1"/>
  <c r="C69" i="23" s="1"/>
  <c r="C70" i="23" s="1"/>
  <c r="C71" i="23" s="1"/>
  <c r="C72" i="23" s="1"/>
  <c r="C73" i="23" s="1"/>
  <c r="C74" i="23" s="1"/>
  <c r="C75" i="23" s="1"/>
  <c r="C76" i="23" s="1"/>
  <c r="C77" i="23" s="1"/>
  <c r="C78" i="23" s="1"/>
  <c r="C79" i="23" s="1"/>
  <c r="C80" i="23" s="1"/>
  <c r="C81" i="23" s="1"/>
  <c r="C82" i="23" s="1"/>
  <c r="C83" i="23" s="1"/>
  <c r="C84" i="23" s="1"/>
  <c r="C85" i="23" s="1"/>
  <c r="C86" i="23" s="1"/>
  <c r="C87" i="23" s="1"/>
  <c r="C88" i="23" s="1"/>
  <c r="C89" i="23" s="1"/>
  <c r="C90" i="23" s="1"/>
  <c r="C91" i="23" s="1"/>
  <c r="C92" i="23" s="1"/>
  <c r="C93" i="23" s="1"/>
  <c r="C94" i="23" s="1"/>
  <c r="C95" i="23" s="1"/>
  <c r="C96" i="23" s="1"/>
  <c r="C97" i="23" s="1"/>
  <c r="C98" i="23" s="1"/>
  <c r="C99" i="23" s="1"/>
  <c r="C100" i="23" s="1"/>
  <c r="C101" i="23" s="1"/>
  <c r="C102" i="23" s="1"/>
  <c r="C103" i="23" s="1"/>
  <c r="C104" i="23" s="1"/>
  <c r="C105" i="23" s="1"/>
  <c r="C106" i="23" s="1"/>
  <c r="C107" i="23" s="1"/>
  <c r="C65" i="9"/>
  <c r="C66" i="9" s="1"/>
  <c r="C67" i="9" s="1"/>
  <c r="C68" i="9" s="1"/>
  <c r="C69" i="9" s="1"/>
  <c r="C70" i="9" s="1"/>
  <c r="C71" i="9" s="1"/>
  <c r="C72" i="9" s="1"/>
  <c r="C73" i="9" s="1"/>
  <c r="C74" i="9" s="1"/>
  <c r="C75" i="9" s="1"/>
  <c r="C76" i="9" s="1"/>
  <c r="C77" i="9" s="1"/>
  <c r="C78" i="9" s="1"/>
  <c r="C79" i="9" s="1"/>
  <c r="C80" i="9" s="1"/>
  <c r="C81" i="9" s="1"/>
  <c r="C82" i="9" s="1"/>
  <c r="C83" i="9" s="1"/>
  <c r="C84" i="9" s="1"/>
  <c r="C85" i="9" s="1"/>
  <c r="C86" i="9" s="1"/>
  <c r="C87" i="9" s="1"/>
  <c r="C88" i="9" s="1"/>
  <c r="C89" i="9" s="1"/>
  <c r="C90" i="9" s="1"/>
  <c r="C91" i="9" s="1"/>
  <c r="C92" i="9" s="1"/>
  <c r="C93" i="9" s="1"/>
  <c r="C94" i="9" s="1"/>
  <c r="C95" i="9" s="1"/>
  <c r="C96" i="9" s="1"/>
  <c r="C65" i="11"/>
  <c r="C66" i="11" s="1"/>
  <c r="C67" i="11" s="1"/>
  <c r="C68" i="11" s="1"/>
  <c r="C69" i="11" s="1"/>
  <c r="C70" i="11" s="1"/>
  <c r="C71" i="11" s="1"/>
  <c r="C72" i="11" s="1"/>
  <c r="C73" i="11" s="1"/>
  <c r="C74" i="11" s="1"/>
  <c r="C75" i="11" s="1"/>
  <c r="C76" i="11" s="1"/>
  <c r="C77" i="11" s="1"/>
  <c r="C78" i="11" s="1"/>
  <c r="C79" i="11" s="1"/>
  <c r="C80" i="11" s="1"/>
  <c r="C81" i="11" s="1"/>
  <c r="C82" i="11" s="1"/>
  <c r="C83" i="11" s="1"/>
  <c r="C84" i="11" s="1"/>
  <c r="C85" i="11" s="1"/>
  <c r="C86" i="11" s="1"/>
  <c r="C87" i="11" s="1"/>
  <c r="C88" i="11" s="1"/>
  <c r="C89" i="11" s="1"/>
  <c r="C90" i="11" s="1"/>
  <c r="C91" i="11" s="1"/>
  <c r="C92" i="11" s="1"/>
  <c r="C93" i="11" s="1"/>
  <c r="C94" i="11" s="1"/>
  <c r="C95" i="11" s="1"/>
  <c r="C96" i="11" s="1"/>
  <c r="C65" i="20"/>
  <c r="C66" i="20" s="1"/>
  <c r="C67" i="20" s="1"/>
  <c r="C68" i="20" s="1"/>
  <c r="C69" i="20" s="1"/>
  <c r="C70" i="20" s="1"/>
  <c r="C71" i="20" s="1"/>
  <c r="C72" i="20" s="1"/>
  <c r="C73" i="20" s="1"/>
  <c r="C74" i="20" s="1"/>
  <c r="C75" i="20" s="1"/>
  <c r="C76" i="20" s="1"/>
  <c r="C77" i="20" s="1"/>
  <c r="C78" i="20" s="1"/>
  <c r="C79" i="20" s="1"/>
  <c r="C80" i="20" s="1"/>
  <c r="C81" i="20" s="1"/>
  <c r="C82" i="20" s="1"/>
  <c r="C83" i="20" s="1"/>
  <c r="C84" i="20" s="1"/>
  <c r="C85" i="20" s="1"/>
  <c r="C86" i="20" s="1"/>
  <c r="C87" i="20" s="1"/>
  <c r="C88" i="20" s="1"/>
  <c r="C89" i="20" s="1"/>
  <c r="C90" i="20" s="1"/>
  <c r="C91" i="20" s="1"/>
  <c r="C92" i="20" s="1"/>
  <c r="C93" i="20" s="1"/>
  <c r="C94" i="20" s="1"/>
  <c r="C95" i="20" s="1"/>
  <c r="C96" i="20" s="1"/>
  <c r="C97" i="20" s="1"/>
  <c r="C98" i="20" s="1"/>
  <c r="C99" i="20" s="1"/>
  <c r="C100" i="20" s="1"/>
  <c r="C101" i="20" s="1"/>
  <c r="C102" i="20" s="1"/>
  <c r="C103" i="20" s="1"/>
  <c r="C104" i="20" s="1"/>
  <c r="C105" i="20" s="1"/>
  <c r="C106" i="20" s="1"/>
  <c r="C107" i="20" s="1"/>
  <c r="C65" i="13"/>
  <c r="C66" i="13" s="1"/>
  <c r="C67" i="13" s="1"/>
  <c r="C68" i="13" s="1"/>
  <c r="C69" i="13" s="1"/>
  <c r="C70" i="13" s="1"/>
  <c r="C71" i="13" s="1"/>
  <c r="C72" i="13" s="1"/>
  <c r="C73" i="13" s="1"/>
  <c r="C74" i="13" s="1"/>
  <c r="C75" i="13" s="1"/>
  <c r="C76" i="13" s="1"/>
  <c r="C77" i="13" s="1"/>
  <c r="C78" i="13" s="1"/>
  <c r="C79" i="13" s="1"/>
  <c r="C80" i="13" s="1"/>
  <c r="C81" i="13" s="1"/>
  <c r="C82" i="13" s="1"/>
  <c r="C83" i="13" s="1"/>
  <c r="C84" i="13" s="1"/>
  <c r="C85" i="13" s="1"/>
  <c r="C86" i="13" s="1"/>
  <c r="C87" i="13" s="1"/>
  <c r="C88" i="13" s="1"/>
  <c r="C89" i="13" s="1"/>
  <c r="C90" i="13" s="1"/>
  <c r="C91" i="13" s="1"/>
  <c r="C92" i="13" s="1"/>
  <c r="C93" i="13" s="1"/>
  <c r="C94" i="13" s="1"/>
  <c r="C95" i="13" s="1"/>
  <c r="C96" i="13" s="1"/>
  <c r="C65" i="5"/>
  <c r="C66" i="5" s="1"/>
  <c r="C67" i="5" s="1"/>
  <c r="C68" i="5" s="1"/>
  <c r="C69" i="5" s="1"/>
  <c r="C70" i="5" s="1"/>
  <c r="C71" i="5" s="1"/>
  <c r="C72" i="5" s="1"/>
  <c r="C73" i="5" s="1"/>
  <c r="C74" i="5" s="1"/>
  <c r="C75" i="5" s="1"/>
  <c r="C76" i="5" s="1"/>
  <c r="C77" i="5" s="1"/>
  <c r="C78" i="5" s="1"/>
  <c r="C79" i="5" s="1"/>
  <c r="C80" i="5" s="1"/>
  <c r="C81" i="5" s="1"/>
  <c r="C82" i="5" s="1"/>
  <c r="C83" i="5" s="1"/>
  <c r="C84" i="5" s="1"/>
  <c r="C85" i="5" s="1"/>
  <c r="C86" i="5" s="1"/>
  <c r="C87" i="5" s="1"/>
  <c r="C88" i="5" s="1"/>
  <c r="C89" i="5" s="1"/>
  <c r="C90" i="5" s="1"/>
  <c r="C91" i="5" s="1"/>
  <c r="C92" i="5" s="1"/>
  <c r="C93" i="5" s="1"/>
  <c r="C94" i="5" s="1"/>
  <c r="C95" i="5" s="1"/>
  <c r="C96" i="5" s="1"/>
  <c r="C97" i="5" s="1"/>
  <c r="C98" i="5" s="1"/>
  <c r="C99" i="5" s="1"/>
  <c r="C100" i="5" s="1"/>
  <c r="C101" i="5" s="1"/>
  <c r="C102" i="5" s="1"/>
  <c r="C103" i="5" s="1"/>
  <c r="C104" i="5" s="1"/>
  <c r="C105" i="5" s="1"/>
  <c r="C106" i="5" s="1"/>
  <c r="C107" i="5" s="1"/>
  <c r="C65" i="24"/>
  <c r="C66" i="24" s="1"/>
  <c r="C67" i="24" s="1"/>
  <c r="C68" i="24" s="1"/>
  <c r="C69" i="24" s="1"/>
  <c r="C70" i="24" s="1"/>
  <c r="C71" i="24" s="1"/>
  <c r="C72" i="24" s="1"/>
  <c r="C73" i="24" s="1"/>
  <c r="C74" i="24" s="1"/>
  <c r="C75" i="24" s="1"/>
  <c r="C76" i="24" s="1"/>
  <c r="C77" i="24" s="1"/>
  <c r="C78" i="24" s="1"/>
  <c r="C79" i="24" s="1"/>
  <c r="C80" i="24" s="1"/>
  <c r="C81" i="24" s="1"/>
  <c r="C82" i="24" s="1"/>
  <c r="C83" i="24" s="1"/>
  <c r="C84" i="24" s="1"/>
  <c r="C85" i="24" s="1"/>
  <c r="C86" i="24" s="1"/>
  <c r="C87" i="24" s="1"/>
  <c r="C88" i="24" s="1"/>
  <c r="C89" i="24" s="1"/>
  <c r="C90" i="24" s="1"/>
  <c r="C91" i="24" s="1"/>
  <c r="C92" i="24" s="1"/>
  <c r="C93" i="24" s="1"/>
  <c r="C94" i="24" s="1"/>
  <c r="C95" i="24" s="1"/>
  <c r="C96" i="24" s="1"/>
  <c r="C97" i="24" s="1"/>
  <c r="C98" i="24" s="1"/>
  <c r="C99" i="24" s="1"/>
  <c r="C100" i="24" s="1"/>
  <c r="C101" i="24" s="1"/>
  <c r="C102" i="24" s="1"/>
  <c r="C103" i="24" s="1"/>
  <c r="C104" i="24" s="1"/>
  <c r="C105" i="24" s="1"/>
  <c r="C106" i="24" s="1"/>
  <c r="C107" i="24" s="1"/>
  <c r="C65" i="12"/>
  <c r="C66" i="12" s="1"/>
  <c r="C67" i="12" s="1"/>
  <c r="C68" i="12" s="1"/>
  <c r="C69" i="12" s="1"/>
  <c r="C70" i="12" s="1"/>
  <c r="C71" i="12" s="1"/>
  <c r="C72" i="12" s="1"/>
  <c r="C73" i="12" s="1"/>
  <c r="C74" i="12" s="1"/>
  <c r="C75" i="12" s="1"/>
  <c r="C76" i="12" s="1"/>
  <c r="C77" i="12" s="1"/>
  <c r="C78" i="12" s="1"/>
  <c r="C79" i="12" s="1"/>
  <c r="C80" i="12" s="1"/>
  <c r="C81" i="12" s="1"/>
  <c r="C82" i="12" s="1"/>
  <c r="C83" i="12" s="1"/>
  <c r="C84" i="12" s="1"/>
  <c r="C85" i="12" s="1"/>
  <c r="C86" i="12" s="1"/>
  <c r="C87" i="12" s="1"/>
  <c r="C88" i="12" s="1"/>
  <c r="C89" i="12" s="1"/>
  <c r="C90" i="12" s="1"/>
  <c r="C91" i="12" s="1"/>
  <c r="C92" i="12" s="1"/>
  <c r="C93" i="12" s="1"/>
  <c r="C94" i="12" s="1"/>
  <c r="C95" i="12" s="1"/>
  <c r="C96" i="12" s="1"/>
  <c r="I5" i="33"/>
  <c r="C65" i="8"/>
  <c r="C66" i="8" s="1"/>
  <c r="C67" i="8" s="1"/>
  <c r="C68" i="8" s="1"/>
  <c r="C69" i="8" s="1"/>
  <c r="C70" i="8" s="1"/>
  <c r="C71" i="8" s="1"/>
  <c r="C72" i="8" s="1"/>
  <c r="C73" i="8" s="1"/>
  <c r="C74" i="8" s="1"/>
  <c r="C75" i="8" s="1"/>
  <c r="C76" i="8" s="1"/>
  <c r="C77" i="8" s="1"/>
  <c r="C78" i="8" s="1"/>
  <c r="C79" i="8" s="1"/>
  <c r="C80" i="8" s="1"/>
  <c r="C81" i="8" s="1"/>
  <c r="C82" i="8" s="1"/>
  <c r="C83" i="8" s="1"/>
  <c r="C84" i="8" s="1"/>
  <c r="C85" i="8" s="1"/>
  <c r="C86" i="8" s="1"/>
  <c r="C87" i="8" s="1"/>
  <c r="C88" i="8" s="1"/>
  <c r="C89" i="8" s="1"/>
  <c r="C90" i="8" s="1"/>
  <c r="C91" i="8" s="1"/>
  <c r="C92" i="8" s="1"/>
  <c r="C93" i="8" s="1"/>
  <c r="C94" i="8" s="1"/>
  <c r="C95" i="8" s="1"/>
  <c r="C96" i="8" s="1"/>
  <c r="C97" i="8" s="1"/>
  <c r="C98" i="8" s="1"/>
  <c r="C99" i="8" s="1"/>
  <c r="C100" i="8" s="1"/>
  <c r="C101" i="8" s="1"/>
  <c r="C102" i="8" s="1"/>
  <c r="C103" i="8" s="1"/>
  <c r="C104" i="8" s="1"/>
  <c r="C105" i="8" s="1"/>
  <c r="C106" i="8" s="1"/>
  <c r="C107" i="8" s="1"/>
  <c r="F12" i="18"/>
  <c r="B50" i="18" s="1"/>
  <c r="G50" i="18" s="1"/>
  <c r="F12" i="28"/>
  <c r="B54" i="28" s="1"/>
  <c r="G54" i="28" s="1"/>
  <c r="F12" i="29"/>
  <c r="B31" i="29" s="1"/>
  <c r="G31" i="29" s="1"/>
  <c r="F60" i="29"/>
  <c r="A61" i="29"/>
  <c r="F46" i="29"/>
  <c r="A47" i="29"/>
  <c r="D33" i="29"/>
  <c r="J32" i="29"/>
  <c r="O34" i="29"/>
  <c r="O35" i="29" s="1"/>
  <c r="O36" i="29" s="1"/>
  <c r="O37" i="29" s="1"/>
  <c r="O38" i="29" s="1"/>
  <c r="O39" i="29" s="1"/>
  <c r="O40" i="29" s="1"/>
  <c r="O41" i="29" s="1"/>
  <c r="O42" i="29" s="1"/>
  <c r="O43" i="29" s="1"/>
  <c r="O44" i="29" s="1"/>
  <c r="O45" i="29" s="1"/>
  <c r="O46" i="29" s="1"/>
  <c r="D34" i="28"/>
  <c r="J33" i="28"/>
  <c r="F12" i="27"/>
  <c r="H22" i="27" s="1"/>
  <c r="F30" i="27"/>
  <c r="D34" i="27"/>
  <c r="J33" i="27"/>
  <c r="F12" i="20"/>
  <c r="B31" i="20" s="1"/>
  <c r="G31" i="20" s="1"/>
  <c r="F12" i="26"/>
  <c r="F17" i="26" s="1"/>
  <c r="D32" i="26"/>
  <c r="J31" i="26"/>
  <c r="F12" i="24"/>
  <c r="F17" i="24" s="1"/>
  <c r="F30" i="24"/>
  <c r="O29" i="24"/>
  <c r="D33" i="24"/>
  <c r="J32" i="24"/>
  <c r="F12" i="22"/>
  <c r="B50" i="22" s="1"/>
  <c r="G50" i="22" s="1"/>
  <c r="F12" i="23"/>
  <c r="D34" i="23"/>
  <c r="J33" i="23"/>
  <c r="F12" i="21"/>
  <c r="B31" i="21" s="1"/>
  <c r="G31" i="21" s="1"/>
  <c r="F110" i="22"/>
  <c r="O30" i="22"/>
  <c r="O31" i="22" s="1"/>
  <c r="O32" i="22" s="1"/>
  <c r="O33" i="22" s="1"/>
  <c r="O34" i="22" s="1"/>
  <c r="O35" i="22" s="1"/>
  <c r="O36" i="22" s="1"/>
  <c r="O37" i="22" s="1"/>
  <c r="O38" i="22" s="1"/>
  <c r="O39" i="22" s="1"/>
  <c r="O40" i="22" s="1"/>
  <c r="O41" i="22" s="1"/>
  <c r="O42" i="22" s="1"/>
  <c r="O43" i="22" s="1"/>
  <c r="O44" i="22" s="1"/>
  <c r="O45" i="22" s="1"/>
  <c r="O46" i="22" s="1"/>
  <c r="O47" i="22" s="1"/>
  <c r="O48" i="22" s="1"/>
  <c r="O49" i="22" s="1"/>
  <c r="O50" i="22" s="1"/>
  <c r="O51" i="22" s="1"/>
  <c r="O52" i="22" s="1"/>
  <c r="O53" i="22" s="1"/>
  <c r="O54" i="22" s="1"/>
  <c r="O55" i="22" s="1"/>
  <c r="O56" i="22" s="1"/>
  <c r="O57" i="22" s="1"/>
  <c r="O58" i="22" s="1"/>
  <c r="O59" i="22" s="1"/>
  <c r="O60" i="22" s="1"/>
  <c r="O61" i="22" s="1"/>
  <c r="O62" i="22" s="1"/>
  <c r="O63" i="22" s="1"/>
  <c r="O64" i="22" s="1"/>
  <c r="D32" i="22"/>
  <c r="J31" i="22"/>
  <c r="D33" i="21"/>
  <c r="J32" i="21"/>
  <c r="F12" i="19"/>
  <c r="F17" i="19" s="1"/>
  <c r="D32" i="20"/>
  <c r="J31" i="20"/>
  <c r="F30" i="14"/>
  <c r="D33" i="19"/>
  <c r="J32" i="19"/>
  <c r="D34" i="18"/>
  <c r="J33" i="18"/>
  <c r="F12" i="17"/>
  <c r="D33" i="17"/>
  <c r="J32" i="17"/>
  <c r="F12" i="15"/>
  <c r="B61" i="15" s="1"/>
  <c r="G61" i="15" s="1"/>
  <c r="F12" i="16"/>
  <c r="B47" i="16" s="1"/>
  <c r="G47" i="16" s="1"/>
  <c r="D33" i="16"/>
  <c r="J32" i="16"/>
  <c r="F12" i="14"/>
  <c r="F17" i="14" s="1"/>
  <c r="O29" i="15"/>
  <c r="O30" i="15" s="1"/>
  <c r="O31" i="15" s="1"/>
  <c r="O32" i="15" s="1"/>
  <c r="O33" i="15" s="1"/>
  <c r="O34" i="15" s="1"/>
  <c r="O35" i="15" s="1"/>
  <c r="O36" i="15" s="1"/>
  <c r="O37" i="15" s="1"/>
  <c r="O38" i="15" s="1"/>
  <c r="O39" i="15" s="1"/>
  <c r="O40" i="15" s="1"/>
  <c r="O41" i="15" s="1"/>
  <c r="O42" i="15" s="1"/>
  <c r="O43" i="15" s="1"/>
  <c r="O44" i="15" s="1"/>
  <c r="O45" i="15" s="1"/>
  <c r="O46" i="15" s="1"/>
  <c r="O47" i="15" s="1"/>
  <c r="O48" i="15" s="1"/>
  <c r="O49" i="15" s="1"/>
  <c r="O50" i="15" s="1"/>
  <c r="O51" i="15" s="1"/>
  <c r="O52" i="15" s="1"/>
  <c r="O53" i="15" s="1"/>
  <c r="O54" i="15" s="1"/>
  <c r="O55" i="15" s="1"/>
  <c r="O56" i="15" s="1"/>
  <c r="O57" i="15" s="1"/>
  <c r="O58" i="15" s="1"/>
  <c r="O59" i="15" s="1"/>
  <c r="O60" i="15" s="1"/>
  <c r="O61" i="15" s="1"/>
  <c r="O62" i="15" s="1"/>
  <c r="O63" i="15" s="1"/>
  <c r="O64" i="15" s="1"/>
  <c r="J32" i="15"/>
  <c r="D33" i="15"/>
  <c r="F110" i="15"/>
  <c r="D34" i="14"/>
  <c r="J33" i="14"/>
  <c r="F12" i="11"/>
  <c r="F17" i="11" s="1"/>
  <c r="F12" i="13"/>
  <c r="F17" i="13" s="1"/>
  <c r="O29" i="13"/>
  <c r="O30" i="13" s="1"/>
  <c r="O31" i="13" s="1"/>
  <c r="O32" i="13" s="1"/>
  <c r="O33" i="13" s="1"/>
  <c r="O34" i="13" s="1"/>
  <c r="O35" i="13" s="1"/>
  <c r="O36" i="13" s="1"/>
  <c r="O37" i="13" s="1"/>
  <c r="O38" i="13" s="1"/>
  <c r="O39" i="13" s="1"/>
  <c r="O40" i="13" s="1"/>
  <c r="O41" i="13" s="1"/>
  <c r="O42" i="13" s="1"/>
  <c r="O43" i="13" s="1"/>
  <c r="O44" i="13" s="1"/>
  <c r="O45" i="13" s="1"/>
  <c r="O46" i="13" s="1"/>
  <c r="O47" i="13" s="1"/>
  <c r="O48" i="13" s="1"/>
  <c r="O49" i="13" s="1"/>
  <c r="O50" i="13" s="1"/>
  <c r="O51" i="13" s="1"/>
  <c r="O52" i="13" s="1"/>
  <c r="O53" i="13" s="1"/>
  <c r="O54" i="13" s="1"/>
  <c r="O55" i="13" s="1"/>
  <c r="O56" i="13" s="1"/>
  <c r="O57" i="13" s="1"/>
  <c r="O58" i="13" s="1"/>
  <c r="O59" i="13" s="1"/>
  <c r="O60" i="13" s="1"/>
  <c r="O61" i="13" s="1"/>
  <c r="O62" i="13" s="1"/>
  <c r="O63" i="13" s="1"/>
  <c r="O64" i="13" s="1"/>
  <c r="F110" i="13"/>
  <c r="D33" i="13"/>
  <c r="J32" i="13"/>
  <c r="O30" i="10"/>
  <c r="O31" i="10" s="1"/>
  <c r="O32" i="10" s="1"/>
  <c r="O33" i="10" s="1"/>
  <c r="O34" i="10" s="1"/>
  <c r="O35" i="10" s="1"/>
  <c r="O36" i="10" s="1"/>
  <c r="O37" i="10" s="1"/>
  <c r="O38" i="10" s="1"/>
  <c r="O39" i="10" s="1"/>
  <c r="O40" i="10" s="1"/>
  <c r="O41" i="10" s="1"/>
  <c r="O42" i="10" s="1"/>
  <c r="O43" i="10" s="1"/>
  <c r="O44" i="10" s="1"/>
  <c r="O45" i="10" s="1"/>
  <c r="O46" i="10" s="1"/>
  <c r="O47" i="10" s="1"/>
  <c r="O48" i="10" s="1"/>
  <c r="O49" i="10" s="1"/>
  <c r="O50" i="10" s="1"/>
  <c r="O51" i="10" s="1"/>
  <c r="O52" i="10" s="1"/>
  <c r="O53" i="10" s="1"/>
  <c r="O54" i="10" s="1"/>
  <c r="O55" i="10" s="1"/>
  <c r="O56" i="10" s="1"/>
  <c r="O57" i="10" s="1"/>
  <c r="O58" i="10" s="1"/>
  <c r="O59" i="10" s="1"/>
  <c r="O60" i="10" s="1"/>
  <c r="O61" i="10" s="1"/>
  <c r="O62" i="10" s="1"/>
  <c r="O63" i="10" s="1"/>
  <c r="O64" i="10" s="1"/>
  <c r="F12" i="12"/>
  <c r="H22" i="12" s="1"/>
  <c r="F30" i="12"/>
  <c r="F31" i="12" s="1"/>
  <c r="F32" i="12" s="1"/>
  <c r="F33" i="12" s="1"/>
  <c r="F34" i="12" s="1"/>
  <c r="F35" i="12" s="1"/>
  <c r="F36" i="12" s="1"/>
  <c r="F37" i="12" s="1"/>
  <c r="F38" i="12" s="1"/>
  <c r="F39" i="12" s="1"/>
  <c r="F40" i="12" s="1"/>
  <c r="F41" i="12" s="1"/>
  <c r="F42" i="12" s="1"/>
  <c r="O29" i="12"/>
  <c r="J32" i="12"/>
  <c r="D33" i="12"/>
  <c r="F30" i="1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O29" i="11"/>
  <c r="J32" i="11"/>
  <c r="D33" i="11"/>
  <c r="F12" i="10"/>
  <c r="F17" i="10" s="1"/>
  <c r="O29" i="9"/>
  <c r="O30" i="9" s="1"/>
  <c r="O31" i="9" s="1"/>
  <c r="O32" i="9" s="1"/>
  <c r="O33" i="9" s="1"/>
  <c r="O34" i="9" s="1"/>
  <c r="O35" i="9" s="1"/>
  <c r="O36" i="9" s="1"/>
  <c r="O37" i="9" s="1"/>
  <c r="O38" i="9" s="1"/>
  <c r="O39" i="9" s="1"/>
  <c r="O40" i="9" s="1"/>
  <c r="O41" i="9" s="1"/>
  <c r="O42" i="9" s="1"/>
  <c r="O43" i="9" s="1"/>
  <c r="O44" i="9" s="1"/>
  <c r="O45" i="9" s="1"/>
  <c r="O46" i="9" s="1"/>
  <c r="O47" i="9" s="1"/>
  <c r="O48" i="9" s="1"/>
  <c r="O49" i="9" s="1"/>
  <c r="O50" i="9" s="1"/>
  <c r="O51" i="9" s="1"/>
  <c r="O52" i="9" s="1"/>
  <c r="O53" i="9" s="1"/>
  <c r="O54" i="9" s="1"/>
  <c r="O55" i="9" s="1"/>
  <c r="O56" i="9" s="1"/>
  <c r="O57" i="9" s="1"/>
  <c r="O58" i="9" s="1"/>
  <c r="O59" i="9" s="1"/>
  <c r="O60" i="9" s="1"/>
  <c r="O61" i="9" s="1"/>
  <c r="O62" i="9" s="1"/>
  <c r="O63" i="9" s="1"/>
  <c r="O64" i="9" s="1"/>
  <c r="O65" i="9" s="1"/>
  <c r="O66" i="9" s="1"/>
  <c r="O67" i="9" s="1"/>
  <c r="F110" i="10"/>
  <c r="D32" i="10"/>
  <c r="J31" i="10"/>
  <c r="F12" i="9"/>
  <c r="F17" i="9" s="1"/>
  <c r="D33" i="9"/>
  <c r="J32" i="9"/>
  <c r="F110" i="9"/>
  <c r="F12" i="8"/>
  <c r="H22" i="8" s="1"/>
  <c r="O29" i="8"/>
  <c r="O30" i="8" s="1"/>
  <c r="O31" i="8" s="1"/>
  <c r="O32" i="8" s="1"/>
  <c r="O33" i="8" s="1"/>
  <c r="O34" i="8" s="1"/>
  <c r="O35" i="8" s="1"/>
  <c r="O36" i="8" s="1"/>
  <c r="O37" i="8" s="1"/>
  <c r="O38" i="8" s="1"/>
  <c r="O39" i="8" s="1"/>
  <c r="O40" i="8" s="1"/>
  <c r="D34" i="8"/>
  <c r="J33" i="8"/>
  <c r="F110" i="8"/>
  <c r="O29" i="7"/>
  <c r="O30" i="7" s="1"/>
  <c r="O31" i="7" s="1"/>
  <c r="O32" i="7" s="1"/>
  <c r="O33" i="7" s="1"/>
  <c r="O34" i="7" s="1"/>
  <c r="O35" i="7" s="1"/>
  <c r="O36" i="7" s="1"/>
  <c r="O37" i="7" s="1"/>
  <c r="O38" i="7" s="1"/>
  <c r="O39" i="7" s="1"/>
  <c r="O40" i="7" s="1"/>
  <c r="O41" i="7" s="1"/>
  <c r="O42" i="7" s="1"/>
  <c r="O43" i="7" s="1"/>
  <c r="O44" i="7" s="1"/>
  <c r="O45" i="7" s="1"/>
  <c r="O46" i="7" s="1"/>
  <c r="O47" i="7" s="1"/>
  <c r="O48" i="7" s="1"/>
  <c r="O49" i="7" s="1"/>
  <c r="O50" i="7" s="1"/>
  <c r="O51" i="7" s="1"/>
  <c r="O52" i="7" s="1"/>
  <c r="O53" i="7" s="1"/>
  <c r="O54" i="7" s="1"/>
  <c r="O55" i="7" s="1"/>
  <c r="O56" i="7" s="1"/>
  <c r="O57" i="7" s="1"/>
  <c r="O58" i="7" s="1"/>
  <c r="O59" i="7" s="1"/>
  <c r="O60" i="7" s="1"/>
  <c r="O61" i="7" s="1"/>
  <c r="O62" i="7" s="1"/>
  <c r="O63" i="7" s="1"/>
  <c r="O64" i="7" s="1"/>
  <c r="F12" i="7"/>
  <c r="F17" i="7" s="1"/>
  <c r="D33" i="7"/>
  <c r="J32" i="7"/>
  <c r="F110" i="7"/>
  <c r="O29" i="6"/>
  <c r="O30" i="6" s="1"/>
  <c r="O31" i="6" s="1"/>
  <c r="O32" i="6" s="1"/>
  <c r="O33" i="6" s="1"/>
  <c r="O34" i="6" s="1"/>
  <c r="O35" i="6" s="1"/>
  <c r="O36" i="6" s="1"/>
  <c r="O37" i="6" s="1"/>
  <c r="O38" i="6" s="1"/>
  <c r="O39" i="6" s="1"/>
  <c r="O40" i="6" s="1"/>
  <c r="O41" i="6" s="1"/>
  <c r="O42" i="6" s="1"/>
  <c r="O43" i="6" s="1"/>
  <c r="O44" i="6" s="1"/>
  <c r="O45" i="6" s="1"/>
  <c r="O46" i="6" s="1"/>
  <c r="O47" i="6" s="1"/>
  <c r="O48" i="6" s="1"/>
  <c r="O49" i="6" s="1"/>
  <c r="O50" i="6" s="1"/>
  <c r="O51" i="6" s="1"/>
  <c r="O52" i="6" s="1"/>
  <c r="O53" i="6" s="1"/>
  <c r="O54" i="6" s="1"/>
  <c r="O55" i="6" s="1"/>
  <c r="O56" i="6" s="1"/>
  <c r="O57" i="6" s="1"/>
  <c r="O58" i="6" s="1"/>
  <c r="O59" i="6" s="1"/>
  <c r="O60" i="6" s="1"/>
  <c r="O61" i="6" s="1"/>
  <c r="O62" i="6" s="1"/>
  <c r="O63" i="6" s="1"/>
  <c r="O64" i="6" s="1"/>
  <c r="F12" i="6"/>
  <c r="F17" i="6" s="1"/>
  <c r="D33" i="6"/>
  <c r="J32" i="6"/>
  <c r="F110" i="6"/>
  <c r="F12" i="5"/>
  <c r="F17" i="5" s="1"/>
  <c r="O29" i="5"/>
  <c r="O30" i="5" s="1"/>
  <c r="O31" i="5" s="1"/>
  <c r="O32" i="5" s="1"/>
  <c r="O33" i="5" s="1"/>
  <c r="O34" i="5" s="1"/>
  <c r="O35" i="5" s="1"/>
  <c r="O36" i="5" s="1"/>
  <c r="O37" i="5" s="1"/>
  <c r="O38" i="5" s="1"/>
  <c r="O39" i="5" s="1"/>
  <c r="O40" i="5" s="1"/>
  <c r="F110" i="5"/>
  <c r="D33" i="5"/>
  <c r="J32" i="5"/>
  <c r="F12" i="4"/>
  <c r="F17" i="4" s="1"/>
  <c r="O29" i="4"/>
  <c r="F30" i="4"/>
  <c r="D38" i="4"/>
  <c r="J37" i="4"/>
  <c r="G130" i="10"/>
  <c r="G123" i="10"/>
  <c r="G123" i="9"/>
  <c r="G130" i="9"/>
  <c r="G130" i="6"/>
  <c r="G123" i="6"/>
  <c r="G123" i="7"/>
  <c r="G130" i="7"/>
  <c r="G130" i="11"/>
  <c r="G123" i="11"/>
  <c r="G130" i="13"/>
  <c r="G123" i="13"/>
  <c r="G130" i="15"/>
  <c r="G123" i="12"/>
  <c r="G130" i="12"/>
  <c r="I25" i="33" a="1"/>
  <c r="I23" i="33" a="1"/>
  <c r="I23" i="33" l="1"/>
  <c r="I25" i="33"/>
  <c r="F31" i="4"/>
  <c r="F31" i="24"/>
  <c r="F31" i="27"/>
  <c r="C97" i="12"/>
  <c r="C98" i="12" s="1"/>
  <c r="C99" i="12" s="1"/>
  <c r="C100" i="12" s="1"/>
  <c r="C101" i="12" s="1"/>
  <c r="C102" i="12" s="1"/>
  <c r="C103" i="12" s="1"/>
  <c r="C104" i="12" s="1"/>
  <c r="C105" i="12" s="1"/>
  <c r="C106" i="12" s="1"/>
  <c r="C107" i="12" s="1"/>
  <c r="C66" i="15"/>
  <c r="C67" i="15" s="1"/>
  <c r="C68" i="15" s="1"/>
  <c r="C69" i="15" s="1"/>
  <c r="C70" i="15" s="1"/>
  <c r="C71" i="15" s="1"/>
  <c r="C72" i="15" s="1"/>
  <c r="C73" i="15" s="1"/>
  <c r="C74" i="15" s="1"/>
  <c r="C75" i="15" s="1"/>
  <c r="C76" i="15" s="1"/>
  <c r="C77" i="15" s="1"/>
  <c r="C78" i="15" s="1"/>
  <c r="C79" i="15" s="1"/>
  <c r="C80" i="15" s="1"/>
  <c r="C81" i="15" s="1"/>
  <c r="C82" i="15" s="1"/>
  <c r="C83" i="15" s="1"/>
  <c r="C84" i="15" s="1"/>
  <c r="C85" i="15" s="1"/>
  <c r="C86" i="15" s="1"/>
  <c r="C87" i="15" s="1"/>
  <c r="C88" i="15" s="1"/>
  <c r="C89" i="15" s="1"/>
  <c r="C90" i="15" s="1"/>
  <c r="C91" i="15" s="1"/>
  <c r="C92" i="15" s="1"/>
  <c r="C93" i="15" s="1"/>
  <c r="C94" i="15" s="1"/>
  <c r="C95" i="15" s="1"/>
  <c r="C96" i="15" s="1"/>
  <c r="C97" i="15" s="1"/>
  <c r="C98" i="15" s="1"/>
  <c r="C99" i="15" s="1"/>
  <c r="C100" i="15" s="1"/>
  <c r="C101" i="15" s="1"/>
  <c r="C102" i="15" s="1"/>
  <c r="C103" i="15" s="1"/>
  <c r="C104" i="15" s="1"/>
  <c r="C105" i="15" s="1"/>
  <c r="C106" i="15" s="1"/>
  <c r="C107" i="15" s="1"/>
  <c r="F31" i="14"/>
  <c r="C97" i="13"/>
  <c r="C98" i="13" s="1"/>
  <c r="C99" i="13" s="1"/>
  <c r="C100" i="13" s="1"/>
  <c r="C101" i="13" s="1"/>
  <c r="C102" i="13" s="1"/>
  <c r="C103" i="13" s="1"/>
  <c r="C104" i="13" s="1"/>
  <c r="C105" i="13" s="1"/>
  <c r="C106" i="13" s="1"/>
  <c r="C107" i="13" s="1"/>
  <c r="C97" i="11"/>
  <c r="C98" i="11" s="1"/>
  <c r="C99" i="11" s="1"/>
  <c r="C100" i="11" s="1"/>
  <c r="C101" i="11" s="1"/>
  <c r="C102" i="11" s="1"/>
  <c r="C103" i="11" s="1"/>
  <c r="C104" i="11" s="1"/>
  <c r="C105" i="11" s="1"/>
  <c r="C106" i="11" s="1"/>
  <c r="C107" i="11" s="1"/>
  <c r="C97" i="7"/>
  <c r="C98" i="7" s="1"/>
  <c r="C99" i="7" s="1"/>
  <c r="C100" i="7" s="1"/>
  <c r="C101" i="7" s="1"/>
  <c r="C102" i="7" s="1"/>
  <c r="C103" i="7" s="1"/>
  <c r="C104" i="7" s="1"/>
  <c r="C105" i="7" s="1"/>
  <c r="C106" i="7" s="1"/>
  <c r="C107" i="7" s="1"/>
  <c r="C97" i="6"/>
  <c r="C98" i="6" s="1"/>
  <c r="C99" i="6" s="1"/>
  <c r="C100" i="6" s="1"/>
  <c r="C101" i="6" s="1"/>
  <c r="C102" i="6" s="1"/>
  <c r="C103" i="6" s="1"/>
  <c r="C104" i="6" s="1"/>
  <c r="C105" i="6" s="1"/>
  <c r="C106" i="6" s="1"/>
  <c r="C107" i="6" s="1"/>
  <c r="F44" i="11"/>
  <c r="F43" i="12"/>
  <c r="C97" i="9"/>
  <c r="C98" i="9" s="1"/>
  <c r="C99" i="9" s="1"/>
  <c r="C100" i="9" s="1"/>
  <c r="C101" i="9" s="1"/>
  <c r="C102" i="9" s="1"/>
  <c r="C103" i="9" s="1"/>
  <c r="C104" i="9" s="1"/>
  <c r="C105" i="9" s="1"/>
  <c r="C106" i="9" s="1"/>
  <c r="C107" i="9" s="1"/>
  <c r="C97" i="10"/>
  <c r="C98" i="10" s="1"/>
  <c r="C99" i="10" s="1"/>
  <c r="C100" i="10" s="1"/>
  <c r="C101" i="10" s="1"/>
  <c r="C102" i="10" s="1"/>
  <c r="C103" i="10" s="1"/>
  <c r="C104" i="10" s="1"/>
  <c r="C105" i="10" s="1"/>
  <c r="C106" i="10" s="1"/>
  <c r="C107" i="10" s="1"/>
  <c r="B31" i="18"/>
  <c r="G31" i="18" s="1"/>
  <c r="B37" i="18"/>
  <c r="G37" i="18" s="1"/>
  <c r="B43" i="18"/>
  <c r="G43" i="18" s="1"/>
  <c r="B53" i="18"/>
  <c r="G53" i="18" s="1"/>
  <c r="B34" i="18"/>
  <c r="G34" i="18" s="1"/>
  <c r="B32" i="28"/>
  <c r="G32" i="28" s="1"/>
  <c r="B53" i="28"/>
  <c r="G53" i="28" s="1"/>
  <c r="B59" i="28"/>
  <c r="G59" i="28" s="1"/>
  <c r="B44" i="18"/>
  <c r="G44" i="18" s="1"/>
  <c r="B51" i="18"/>
  <c r="G51" i="18" s="1"/>
  <c r="B56" i="18"/>
  <c r="G56" i="18" s="1"/>
  <c r="B38" i="18"/>
  <c r="G38" i="18" s="1"/>
  <c r="B54" i="18"/>
  <c r="G54" i="18" s="1"/>
  <c r="B45" i="28"/>
  <c r="G45" i="28" s="1"/>
  <c r="B40" i="18"/>
  <c r="G40" i="18" s="1"/>
  <c r="B48" i="18"/>
  <c r="G48" i="18" s="1"/>
  <c r="B61" i="18"/>
  <c r="G61" i="18" s="1"/>
  <c r="B32" i="18"/>
  <c r="G32" i="18" s="1"/>
  <c r="B41" i="18"/>
  <c r="G41" i="18" s="1"/>
  <c r="B49" i="18"/>
  <c r="G49" i="18" s="1"/>
  <c r="B39" i="18"/>
  <c r="G39" i="18" s="1"/>
  <c r="B58" i="18"/>
  <c r="G58" i="18" s="1"/>
  <c r="B29" i="28"/>
  <c r="G29" i="28" s="1"/>
  <c r="B35" i="28"/>
  <c r="G35" i="28" s="1"/>
  <c r="B64" i="28"/>
  <c r="G64" i="28" s="1"/>
  <c r="B35" i="18"/>
  <c r="G35" i="18" s="1"/>
  <c r="B36" i="18"/>
  <c r="G36" i="18" s="1"/>
  <c r="B60" i="18"/>
  <c r="G60" i="18" s="1"/>
  <c r="B52" i="18"/>
  <c r="G52" i="18" s="1"/>
  <c r="B62" i="18"/>
  <c r="G62" i="18" s="1"/>
  <c r="B33" i="28"/>
  <c r="G33" i="28" s="1"/>
  <c r="B48" i="28"/>
  <c r="G48" i="28" s="1"/>
  <c r="B43" i="28"/>
  <c r="G43" i="28" s="1"/>
  <c r="B61" i="28"/>
  <c r="G61" i="28" s="1"/>
  <c r="B55" i="28"/>
  <c r="G55" i="28" s="1"/>
  <c r="B45" i="18"/>
  <c r="G45" i="18" s="1"/>
  <c r="B64" i="18"/>
  <c r="G64" i="18" s="1"/>
  <c r="B57" i="18"/>
  <c r="G57" i="18" s="1"/>
  <c r="B46" i="18"/>
  <c r="G46" i="18" s="1"/>
  <c r="F17" i="18"/>
  <c r="B39" i="28"/>
  <c r="G39" i="28" s="1"/>
  <c r="B51" i="28"/>
  <c r="G51" i="28" s="1"/>
  <c r="B62" i="28"/>
  <c r="G62" i="28" s="1"/>
  <c r="B63" i="18"/>
  <c r="G63" i="18" s="1"/>
  <c r="B29" i="18"/>
  <c r="B55" i="18"/>
  <c r="G55" i="18" s="1"/>
  <c r="B42" i="18"/>
  <c r="G42" i="18" s="1"/>
  <c r="B30" i="18"/>
  <c r="G30" i="18" s="1"/>
  <c r="B52" i="28"/>
  <c r="G52" i="28" s="1"/>
  <c r="B31" i="28"/>
  <c r="G31" i="28" s="1"/>
  <c r="B42" i="28"/>
  <c r="G42" i="28" s="1"/>
  <c r="B59" i="18"/>
  <c r="G59" i="18" s="1"/>
  <c r="B33" i="18"/>
  <c r="G33" i="18" s="1"/>
  <c r="B47" i="18"/>
  <c r="G47" i="18" s="1"/>
  <c r="B41" i="28"/>
  <c r="G41" i="28" s="1"/>
  <c r="B57" i="28"/>
  <c r="G57" i="28" s="1"/>
  <c r="B49" i="28"/>
  <c r="G49" i="28" s="1"/>
  <c r="B50" i="28"/>
  <c r="G50" i="28" s="1"/>
  <c r="B47" i="28"/>
  <c r="G47" i="28" s="1"/>
  <c r="B56" i="28"/>
  <c r="G56" i="28" s="1"/>
  <c r="B36" i="28"/>
  <c r="G36" i="28" s="1"/>
  <c r="B46" i="28"/>
  <c r="G46" i="28" s="1"/>
  <c r="B34" i="28"/>
  <c r="G34" i="28" s="1"/>
  <c r="B40" i="28"/>
  <c r="G40" i="28" s="1"/>
  <c r="F17" i="28"/>
  <c r="B58" i="28"/>
  <c r="G58" i="28" s="1"/>
  <c r="B30" i="28"/>
  <c r="G30" i="28" s="1"/>
  <c r="B60" i="28"/>
  <c r="G60" i="28" s="1"/>
  <c r="B37" i="28"/>
  <c r="G37" i="28" s="1"/>
  <c r="B44" i="28"/>
  <c r="G44" i="28" s="1"/>
  <c r="B63" i="28"/>
  <c r="G63" i="28" s="1"/>
  <c r="B38" i="28"/>
  <c r="G38" i="28" s="1"/>
  <c r="B43" i="29"/>
  <c r="G43" i="29" s="1"/>
  <c r="B40" i="29"/>
  <c r="G40" i="29" s="1"/>
  <c r="B36" i="29"/>
  <c r="G36" i="29" s="1"/>
  <c r="B55" i="29"/>
  <c r="G55" i="29" s="1"/>
  <c r="B35" i="29"/>
  <c r="G35" i="29" s="1"/>
  <c r="B32" i="29"/>
  <c r="G32" i="29" s="1"/>
  <c r="B53" i="29"/>
  <c r="G53" i="29" s="1"/>
  <c r="B61" i="29"/>
  <c r="G61" i="29" s="1"/>
  <c r="B29" i="29"/>
  <c r="G29" i="29" s="1"/>
  <c r="B38" i="29"/>
  <c r="G38" i="29" s="1"/>
  <c r="B47" i="29"/>
  <c r="G47" i="29" s="1"/>
  <c r="B33" i="29"/>
  <c r="G33" i="29" s="1"/>
  <c r="B37" i="29"/>
  <c r="G37" i="29" s="1"/>
  <c r="B39" i="29"/>
  <c r="G39" i="29" s="1"/>
  <c r="B56" i="29"/>
  <c r="G56" i="29" s="1"/>
  <c r="B46" i="29"/>
  <c r="G46" i="29" s="1"/>
  <c r="B41" i="29"/>
  <c r="G41" i="29" s="1"/>
  <c r="B44" i="29"/>
  <c r="G44" i="29" s="1"/>
  <c r="B57" i="29"/>
  <c r="G57" i="29" s="1"/>
  <c r="B45" i="29"/>
  <c r="G45" i="29" s="1"/>
  <c r="B54" i="29"/>
  <c r="G54" i="29" s="1"/>
  <c r="F17" i="29"/>
  <c r="B58" i="29"/>
  <c r="G58" i="29" s="1"/>
  <c r="B30" i="29"/>
  <c r="G30" i="29" s="1"/>
  <c r="B34" i="29"/>
  <c r="G34" i="29" s="1"/>
  <c r="B60" i="29"/>
  <c r="G60" i="29" s="1"/>
  <c r="B59" i="29"/>
  <c r="G59" i="29" s="1"/>
  <c r="B42" i="29"/>
  <c r="G42" i="29" s="1"/>
  <c r="A62" i="29"/>
  <c r="F61" i="29"/>
  <c r="O47" i="29"/>
  <c r="F47" i="29"/>
  <c r="A48" i="29"/>
  <c r="D34" i="29"/>
  <c r="J33" i="29"/>
  <c r="J34" i="28"/>
  <c r="D35" i="28"/>
  <c r="F17" i="27"/>
  <c r="O30" i="27"/>
  <c r="O31" i="27" s="1"/>
  <c r="D35" i="27"/>
  <c r="J34" i="27"/>
  <c r="M22" i="27"/>
  <c r="E29" i="27"/>
  <c r="B40" i="22"/>
  <c r="G40" i="22" s="1"/>
  <c r="B39" i="22"/>
  <c r="G39" i="22" s="1"/>
  <c r="B33" i="22"/>
  <c r="G33" i="22" s="1"/>
  <c r="B35" i="20"/>
  <c r="G35" i="20" s="1"/>
  <c r="B63" i="22"/>
  <c r="G63" i="22" s="1"/>
  <c r="B34" i="22"/>
  <c r="G34" i="22" s="1"/>
  <c r="B49" i="20"/>
  <c r="G49" i="20" s="1"/>
  <c r="B29" i="22"/>
  <c r="G29" i="22" s="1"/>
  <c r="B59" i="22"/>
  <c r="G59" i="22" s="1"/>
  <c r="B57" i="22"/>
  <c r="G57" i="22" s="1"/>
  <c r="B30" i="20"/>
  <c r="G30" i="20" s="1"/>
  <c r="F17" i="22"/>
  <c r="B46" i="22"/>
  <c r="G46" i="22" s="1"/>
  <c r="F17" i="20"/>
  <c r="B40" i="20"/>
  <c r="G40" i="20" s="1"/>
  <c r="B38" i="20"/>
  <c r="G38" i="20" s="1"/>
  <c r="B64" i="20"/>
  <c r="G64" i="20" s="1"/>
  <c r="B50" i="20"/>
  <c r="G50" i="20" s="1"/>
  <c r="B32" i="20"/>
  <c r="G32" i="20" s="1"/>
  <c r="B59" i="20"/>
  <c r="G59" i="20" s="1"/>
  <c r="B42" i="20"/>
  <c r="G42" i="20" s="1"/>
  <c r="B39" i="20"/>
  <c r="G39" i="20" s="1"/>
  <c r="B58" i="20"/>
  <c r="G58" i="20" s="1"/>
  <c r="B43" i="20"/>
  <c r="G43" i="20" s="1"/>
  <c r="B48" i="22"/>
  <c r="G48" i="22" s="1"/>
  <c r="B58" i="22"/>
  <c r="G58" i="22" s="1"/>
  <c r="B51" i="22"/>
  <c r="G51" i="22" s="1"/>
  <c r="H22" i="24"/>
  <c r="M22" i="24" s="1"/>
  <c r="B62" i="20"/>
  <c r="G62" i="20" s="1"/>
  <c r="B63" i="20"/>
  <c r="G63" i="20" s="1"/>
  <c r="B32" i="21"/>
  <c r="G32" i="21" s="1"/>
  <c r="B56" i="22"/>
  <c r="G56" i="22" s="1"/>
  <c r="B54" i="22"/>
  <c r="G54" i="22" s="1"/>
  <c r="B36" i="22"/>
  <c r="G36" i="22" s="1"/>
  <c r="B31" i="22"/>
  <c r="G31" i="22" s="1"/>
  <c r="B43" i="22"/>
  <c r="G43" i="22" s="1"/>
  <c r="B62" i="22"/>
  <c r="G62" i="22" s="1"/>
  <c r="B37" i="20"/>
  <c r="G37" i="20" s="1"/>
  <c r="B36" i="20"/>
  <c r="G36" i="20" s="1"/>
  <c r="B52" i="22"/>
  <c r="G52" i="22" s="1"/>
  <c r="B47" i="22"/>
  <c r="G47" i="22" s="1"/>
  <c r="B35" i="22"/>
  <c r="G35" i="22" s="1"/>
  <c r="B42" i="22"/>
  <c r="G42" i="22" s="1"/>
  <c r="B56" i="26"/>
  <c r="G56" i="26" s="1"/>
  <c r="B60" i="22"/>
  <c r="G60" i="22" s="1"/>
  <c r="B38" i="22"/>
  <c r="G38" i="22" s="1"/>
  <c r="B41" i="20"/>
  <c r="G41" i="20" s="1"/>
  <c r="B29" i="20"/>
  <c r="G29" i="20" s="1"/>
  <c r="B45" i="20"/>
  <c r="G45" i="20" s="1"/>
  <c r="B51" i="20"/>
  <c r="G51" i="20" s="1"/>
  <c r="B48" i="20"/>
  <c r="G48" i="20" s="1"/>
  <c r="B36" i="26"/>
  <c r="G36" i="26" s="1"/>
  <c r="B57" i="20"/>
  <c r="G57" i="20" s="1"/>
  <c r="B34" i="20"/>
  <c r="G34" i="20" s="1"/>
  <c r="B54" i="20"/>
  <c r="G54" i="20" s="1"/>
  <c r="B60" i="20"/>
  <c r="G60" i="20" s="1"/>
  <c r="B47" i="20"/>
  <c r="G47" i="20" s="1"/>
  <c r="B40" i="26"/>
  <c r="G40" i="26" s="1"/>
  <c r="B43" i="26"/>
  <c r="G43" i="26" s="1"/>
  <c r="B53" i="20"/>
  <c r="G53" i="20" s="1"/>
  <c r="B33" i="20"/>
  <c r="G33" i="20" s="1"/>
  <c r="B56" i="20"/>
  <c r="G56" i="20" s="1"/>
  <c r="B44" i="20"/>
  <c r="G44" i="20" s="1"/>
  <c r="B51" i="21"/>
  <c r="G51" i="21" s="1"/>
  <c r="B35" i="26"/>
  <c r="G35" i="26" s="1"/>
  <c r="B39" i="26"/>
  <c r="G39" i="26" s="1"/>
  <c r="B61" i="20"/>
  <c r="G61" i="20" s="1"/>
  <c r="B46" i="20"/>
  <c r="G46" i="20" s="1"/>
  <c r="B55" i="20"/>
  <c r="G55" i="20" s="1"/>
  <c r="B52" i="20"/>
  <c r="G52" i="20" s="1"/>
  <c r="B41" i="26"/>
  <c r="G41" i="26" s="1"/>
  <c r="B38" i="26"/>
  <c r="G38" i="26" s="1"/>
  <c r="B29" i="26"/>
  <c r="G29" i="26" s="1"/>
  <c r="B31" i="26"/>
  <c r="G31" i="26" s="1"/>
  <c r="B63" i="26"/>
  <c r="G63" i="26" s="1"/>
  <c r="B45" i="26"/>
  <c r="G45" i="26" s="1"/>
  <c r="B39" i="21"/>
  <c r="G39" i="21" s="1"/>
  <c r="B32" i="22"/>
  <c r="G32" i="22" s="1"/>
  <c r="B55" i="22"/>
  <c r="G55" i="22" s="1"/>
  <c r="B37" i="22"/>
  <c r="G37" i="22" s="1"/>
  <c r="B49" i="22"/>
  <c r="G49" i="22" s="1"/>
  <c r="B61" i="22"/>
  <c r="G61" i="22" s="1"/>
  <c r="O30" i="24"/>
  <c r="O31" i="24" s="1"/>
  <c r="B64" i="26"/>
  <c r="G64" i="26" s="1"/>
  <c r="B58" i="26"/>
  <c r="G58" i="26" s="1"/>
  <c r="B54" i="26"/>
  <c r="G54" i="26" s="1"/>
  <c r="B49" i="26"/>
  <c r="G49" i="26" s="1"/>
  <c r="B62" i="26"/>
  <c r="G62" i="26" s="1"/>
  <c r="B55" i="26"/>
  <c r="G55" i="26" s="1"/>
  <c r="B52" i="26"/>
  <c r="G52" i="26" s="1"/>
  <c r="B48" i="26"/>
  <c r="G48" i="26" s="1"/>
  <c r="B53" i="26"/>
  <c r="G53" i="26" s="1"/>
  <c r="B57" i="26"/>
  <c r="G57" i="26" s="1"/>
  <c r="B47" i="26"/>
  <c r="G47" i="26" s="1"/>
  <c r="B59" i="26"/>
  <c r="G59" i="26" s="1"/>
  <c r="B42" i="26"/>
  <c r="G42" i="26" s="1"/>
  <c r="B30" i="26"/>
  <c r="G30" i="26" s="1"/>
  <c r="B61" i="26"/>
  <c r="G61" i="26" s="1"/>
  <c r="B44" i="22"/>
  <c r="G44" i="22" s="1"/>
  <c r="B64" i="22"/>
  <c r="G64" i="22" s="1"/>
  <c r="B41" i="22"/>
  <c r="G41" i="22" s="1"/>
  <c r="B30" i="22"/>
  <c r="G30" i="22" s="1"/>
  <c r="B53" i="22"/>
  <c r="G53" i="22" s="1"/>
  <c r="B60" i="26"/>
  <c r="G60" i="26" s="1"/>
  <c r="B34" i="26"/>
  <c r="G34" i="26" s="1"/>
  <c r="B50" i="26"/>
  <c r="G50" i="26" s="1"/>
  <c r="B33" i="26"/>
  <c r="G33" i="26" s="1"/>
  <c r="B32" i="26"/>
  <c r="G32" i="26" s="1"/>
  <c r="B51" i="26"/>
  <c r="G51" i="26" s="1"/>
  <c r="B46" i="26"/>
  <c r="G46" i="26" s="1"/>
  <c r="B44" i="26"/>
  <c r="G44" i="26" s="1"/>
  <c r="B37" i="26"/>
  <c r="G37" i="26" s="1"/>
  <c r="D33" i="26"/>
  <c r="J32" i="26"/>
  <c r="D34" i="24"/>
  <c r="J33" i="24"/>
  <c r="B45" i="22"/>
  <c r="G45" i="22" s="1"/>
  <c r="B63" i="21"/>
  <c r="G63" i="21" s="1"/>
  <c r="B61" i="19"/>
  <c r="G61" i="19" s="1"/>
  <c r="B50" i="21"/>
  <c r="G50" i="21" s="1"/>
  <c r="J34" i="23"/>
  <c r="D35" i="23"/>
  <c r="F17" i="23"/>
  <c r="B30" i="23"/>
  <c r="G30" i="23" s="1"/>
  <c r="B46" i="23"/>
  <c r="G46" i="23" s="1"/>
  <c r="B41" i="23"/>
  <c r="G41" i="23" s="1"/>
  <c r="B36" i="23"/>
  <c r="G36" i="23" s="1"/>
  <c r="B63" i="23"/>
  <c r="G63" i="23" s="1"/>
  <c r="B50" i="23"/>
  <c r="G50" i="23" s="1"/>
  <c r="B45" i="23"/>
  <c r="G45" i="23" s="1"/>
  <c r="B40" i="23"/>
  <c r="G40" i="23" s="1"/>
  <c r="B59" i="23"/>
  <c r="G59" i="23" s="1"/>
  <c r="B61" i="23"/>
  <c r="G61" i="23" s="1"/>
  <c r="B43" i="23"/>
  <c r="G43" i="23" s="1"/>
  <c r="B54" i="23"/>
  <c r="G54" i="23" s="1"/>
  <c r="B49" i="23"/>
  <c r="G49" i="23" s="1"/>
  <c r="B44" i="23"/>
  <c r="G44" i="23" s="1"/>
  <c r="B31" i="23"/>
  <c r="G31" i="23" s="1"/>
  <c r="B58" i="23"/>
  <c r="G58" i="23" s="1"/>
  <c r="B53" i="23"/>
  <c r="G53" i="23" s="1"/>
  <c r="B48" i="23"/>
  <c r="G48" i="23" s="1"/>
  <c r="B35" i="23"/>
  <c r="G35" i="23" s="1"/>
  <c r="B56" i="23"/>
  <c r="G56" i="23" s="1"/>
  <c r="B62" i="23"/>
  <c r="G62" i="23" s="1"/>
  <c r="B57" i="23"/>
  <c r="G57" i="23" s="1"/>
  <c r="B52" i="23"/>
  <c r="G52" i="23" s="1"/>
  <c r="B39" i="23"/>
  <c r="G39" i="23" s="1"/>
  <c r="B55" i="23"/>
  <c r="G55" i="23" s="1"/>
  <c r="B34" i="23"/>
  <c r="G34" i="23" s="1"/>
  <c r="B38" i="23"/>
  <c r="G38" i="23" s="1"/>
  <c r="B33" i="23"/>
  <c r="G33" i="23" s="1"/>
  <c r="B29" i="23"/>
  <c r="B60" i="23"/>
  <c r="G60" i="23" s="1"/>
  <c r="B47" i="23"/>
  <c r="G47" i="23" s="1"/>
  <c r="B42" i="23"/>
  <c r="G42" i="23" s="1"/>
  <c r="B37" i="23"/>
  <c r="G37" i="23" s="1"/>
  <c r="B32" i="23"/>
  <c r="G32" i="23" s="1"/>
  <c r="B64" i="23"/>
  <c r="G64" i="23" s="1"/>
  <c r="B51" i="23"/>
  <c r="G51" i="23" s="1"/>
  <c r="B64" i="21"/>
  <c r="G64" i="21" s="1"/>
  <c r="B60" i="21"/>
  <c r="G60" i="21" s="1"/>
  <c r="B57" i="15"/>
  <c r="G57" i="15" s="1"/>
  <c r="B30" i="21"/>
  <c r="G30" i="21" s="1"/>
  <c r="B53" i="16"/>
  <c r="G53" i="16" s="1"/>
  <c r="B52" i="21"/>
  <c r="G52" i="21" s="1"/>
  <c r="B34" i="16"/>
  <c r="G34" i="16" s="1"/>
  <c r="B48" i="21"/>
  <c r="G48" i="21" s="1"/>
  <c r="B41" i="21"/>
  <c r="G41" i="21" s="1"/>
  <c r="B35" i="16"/>
  <c r="G35" i="16" s="1"/>
  <c r="B59" i="16"/>
  <c r="G59" i="16" s="1"/>
  <c r="B55" i="19"/>
  <c r="G55" i="19" s="1"/>
  <c r="B49" i="21"/>
  <c r="G49" i="21" s="1"/>
  <c r="B62" i="21"/>
  <c r="G62" i="21" s="1"/>
  <c r="B63" i="16"/>
  <c r="G63" i="16" s="1"/>
  <c r="B46" i="15"/>
  <c r="G46" i="15" s="1"/>
  <c r="B55" i="15"/>
  <c r="G55" i="15" s="1"/>
  <c r="B44" i="19"/>
  <c r="G44" i="19" s="1"/>
  <c r="B53" i="21"/>
  <c r="G53" i="21" s="1"/>
  <c r="B55" i="21"/>
  <c r="G55" i="21" s="1"/>
  <c r="B57" i="21"/>
  <c r="G57" i="21" s="1"/>
  <c r="B46" i="21"/>
  <c r="G46" i="21" s="1"/>
  <c r="B58" i="15"/>
  <c r="G58" i="15" s="1"/>
  <c r="B51" i="19"/>
  <c r="G51" i="19" s="1"/>
  <c r="B59" i="21"/>
  <c r="G59" i="21" s="1"/>
  <c r="B44" i="21"/>
  <c r="G44" i="21" s="1"/>
  <c r="B33" i="21"/>
  <c r="G33" i="21" s="1"/>
  <c r="B36" i="21"/>
  <c r="G36" i="21" s="1"/>
  <c r="B42" i="21"/>
  <c r="G42" i="21" s="1"/>
  <c r="B45" i="19"/>
  <c r="G45" i="19" s="1"/>
  <c r="B37" i="21"/>
  <c r="G37" i="21" s="1"/>
  <c r="B35" i="21"/>
  <c r="G35" i="21" s="1"/>
  <c r="B56" i="21"/>
  <c r="G56" i="21" s="1"/>
  <c r="B34" i="21"/>
  <c r="G34" i="21" s="1"/>
  <c r="B38" i="21"/>
  <c r="G38" i="21" s="1"/>
  <c r="B30" i="15"/>
  <c r="G30" i="15" s="1"/>
  <c r="B48" i="19"/>
  <c r="G48" i="19" s="1"/>
  <c r="B29" i="21"/>
  <c r="G29" i="21" s="1"/>
  <c r="B40" i="21"/>
  <c r="G40" i="21" s="1"/>
  <c r="B61" i="21"/>
  <c r="G61" i="21" s="1"/>
  <c r="B58" i="21"/>
  <c r="G58" i="21" s="1"/>
  <c r="F17" i="21"/>
  <c r="B38" i="15"/>
  <c r="G38" i="15" s="1"/>
  <c r="B62" i="19"/>
  <c r="G62" i="19" s="1"/>
  <c r="B43" i="21"/>
  <c r="G43" i="21" s="1"/>
  <c r="B45" i="21"/>
  <c r="G45" i="21" s="1"/>
  <c r="B47" i="21"/>
  <c r="G47" i="21" s="1"/>
  <c r="B54" i="21"/>
  <c r="G54" i="21" s="1"/>
  <c r="D33" i="22"/>
  <c r="J32" i="22"/>
  <c r="O30" i="14"/>
  <c r="O31" i="14" s="1"/>
  <c r="B32" i="19"/>
  <c r="G32" i="19" s="1"/>
  <c r="B56" i="19"/>
  <c r="G56" i="19" s="1"/>
  <c r="B37" i="19"/>
  <c r="G37" i="19" s="1"/>
  <c r="B39" i="19"/>
  <c r="G39" i="19" s="1"/>
  <c r="B35" i="19"/>
  <c r="G35" i="19" s="1"/>
  <c r="B42" i="19"/>
  <c r="G42" i="19" s="1"/>
  <c r="B64" i="15"/>
  <c r="G64" i="15" s="1"/>
  <c r="B47" i="19"/>
  <c r="G47" i="19" s="1"/>
  <c r="B58" i="19"/>
  <c r="G58" i="19" s="1"/>
  <c r="B36" i="19"/>
  <c r="G36" i="19" s="1"/>
  <c r="B43" i="19"/>
  <c r="G43" i="19" s="1"/>
  <c r="B38" i="19"/>
  <c r="G38" i="19" s="1"/>
  <c r="D34" i="21"/>
  <c r="J33" i="21"/>
  <c r="B43" i="16"/>
  <c r="G43" i="16" s="1"/>
  <c r="B44" i="16"/>
  <c r="G44" i="16" s="1"/>
  <c r="B47" i="15"/>
  <c r="G47" i="15" s="1"/>
  <c r="B64" i="19"/>
  <c r="G64" i="19" s="1"/>
  <c r="B49" i="19"/>
  <c r="G49" i="19" s="1"/>
  <c r="B59" i="19"/>
  <c r="G59" i="19" s="1"/>
  <c r="B50" i="19"/>
  <c r="G50" i="19" s="1"/>
  <c r="B30" i="16"/>
  <c r="G30" i="16" s="1"/>
  <c r="B31" i="16"/>
  <c r="G31" i="16" s="1"/>
  <c r="B44" i="15"/>
  <c r="G44" i="15" s="1"/>
  <c r="B41" i="19"/>
  <c r="G41" i="19" s="1"/>
  <c r="B60" i="19"/>
  <c r="G60" i="19" s="1"/>
  <c r="B52" i="19"/>
  <c r="G52" i="19" s="1"/>
  <c r="B53" i="19"/>
  <c r="G53" i="19" s="1"/>
  <c r="B46" i="19"/>
  <c r="G46" i="19" s="1"/>
  <c r="B61" i="16"/>
  <c r="G61" i="16" s="1"/>
  <c r="B50" i="16"/>
  <c r="G50" i="16" s="1"/>
  <c r="B31" i="19"/>
  <c r="G31" i="19" s="1"/>
  <c r="B29" i="19"/>
  <c r="G29" i="19" s="1"/>
  <c r="B57" i="19"/>
  <c r="G57" i="19" s="1"/>
  <c r="B30" i="19"/>
  <c r="G30" i="19" s="1"/>
  <c r="B54" i="19"/>
  <c r="G54" i="19" s="1"/>
  <c r="B37" i="16"/>
  <c r="G37" i="16" s="1"/>
  <c r="B54" i="16"/>
  <c r="G54" i="16" s="1"/>
  <c r="B56" i="15"/>
  <c r="G56" i="15" s="1"/>
  <c r="B40" i="19"/>
  <c r="G40" i="19" s="1"/>
  <c r="B33" i="19"/>
  <c r="G33" i="19" s="1"/>
  <c r="B63" i="19"/>
  <c r="G63" i="19" s="1"/>
  <c r="B34" i="19"/>
  <c r="G34" i="19" s="1"/>
  <c r="B45" i="16"/>
  <c r="G45" i="16" s="1"/>
  <c r="B40" i="16"/>
  <c r="G40" i="16" s="1"/>
  <c r="D33" i="20"/>
  <c r="J32" i="20"/>
  <c r="H22" i="16"/>
  <c r="M22" i="16" s="1"/>
  <c r="B38" i="16"/>
  <c r="G38" i="16" s="1"/>
  <c r="B48" i="16"/>
  <c r="G48" i="16" s="1"/>
  <c r="B62" i="15"/>
  <c r="G62" i="15" s="1"/>
  <c r="B63" i="15"/>
  <c r="G63" i="15" s="1"/>
  <c r="B52" i="15"/>
  <c r="G52" i="15" s="1"/>
  <c r="B39" i="16"/>
  <c r="G39" i="16" s="1"/>
  <c r="B62" i="16"/>
  <c r="G62" i="16" s="1"/>
  <c r="B51" i="16"/>
  <c r="G51" i="16" s="1"/>
  <c r="B32" i="15"/>
  <c r="G32" i="15" s="1"/>
  <c r="B41" i="15"/>
  <c r="G41" i="15" s="1"/>
  <c r="B60" i="15"/>
  <c r="G60" i="15" s="1"/>
  <c r="B57" i="16"/>
  <c r="G57" i="16" s="1"/>
  <c r="B58" i="16"/>
  <c r="G58" i="16" s="1"/>
  <c r="B46" i="16"/>
  <c r="G46" i="16" s="1"/>
  <c r="B55" i="16"/>
  <c r="G55" i="16" s="1"/>
  <c r="B40" i="15"/>
  <c r="G40" i="15" s="1"/>
  <c r="B49" i="15"/>
  <c r="G49" i="15" s="1"/>
  <c r="B53" i="15"/>
  <c r="G53" i="15" s="1"/>
  <c r="B42" i="15"/>
  <c r="G42" i="15" s="1"/>
  <c r="B41" i="16"/>
  <c r="G41" i="16" s="1"/>
  <c r="B42" i="16"/>
  <c r="G42" i="16" s="1"/>
  <c r="B36" i="16"/>
  <c r="G36" i="16" s="1"/>
  <c r="B31" i="15"/>
  <c r="G31" i="15" s="1"/>
  <c r="B50" i="15"/>
  <c r="G50" i="15" s="1"/>
  <c r="B52" i="16"/>
  <c r="G52" i="16" s="1"/>
  <c r="F17" i="15"/>
  <c r="D34" i="19"/>
  <c r="J33" i="19"/>
  <c r="G29" i="18"/>
  <c r="J34" i="18"/>
  <c r="D35" i="18"/>
  <c r="B56" i="16"/>
  <c r="G56" i="16" s="1"/>
  <c r="B43" i="15"/>
  <c r="G43" i="15" s="1"/>
  <c r="B60" i="16"/>
  <c r="G60" i="16" s="1"/>
  <c r="B59" i="15"/>
  <c r="G59" i="15" s="1"/>
  <c r="B46" i="17"/>
  <c r="G46" i="17" s="1"/>
  <c r="B34" i="17"/>
  <c r="G34" i="17" s="1"/>
  <c r="B50" i="17"/>
  <c r="G50" i="17" s="1"/>
  <c r="B42" i="17"/>
  <c r="G42" i="17" s="1"/>
  <c r="B39" i="17"/>
  <c r="G39" i="17" s="1"/>
  <c r="B44" i="17"/>
  <c r="G44" i="17" s="1"/>
  <c r="B49" i="17"/>
  <c r="G49" i="17" s="1"/>
  <c r="B30" i="17"/>
  <c r="G30" i="17" s="1"/>
  <c r="B35" i="17"/>
  <c r="G35" i="17" s="1"/>
  <c r="B40" i="17"/>
  <c r="G40" i="17" s="1"/>
  <c r="B64" i="17"/>
  <c r="G64" i="17" s="1"/>
  <c r="B63" i="17"/>
  <c r="G63" i="17" s="1"/>
  <c r="B31" i="17"/>
  <c r="G31" i="17" s="1"/>
  <c r="B36" i="17"/>
  <c r="G36" i="17" s="1"/>
  <c r="B41" i="17"/>
  <c r="G41" i="17" s="1"/>
  <c r="B59" i="17"/>
  <c r="G59" i="17" s="1"/>
  <c r="F17" i="17"/>
  <c r="B32" i="17"/>
  <c r="G32" i="17" s="1"/>
  <c r="B37" i="17"/>
  <c r="G37" i="17" s="1"/>
  <c r="B45" i="17"/>
  <c r="G45" i="17" s="1"/>
  <c r="B55" i="17"/>
  <c r="G55" i="17" s="1"/>
  <c r="B60" i="17"/>
  <c r="G60" i="17" s="1"/>
  <c r="B29" i="17"/>
  <c r="B33" i="17"/>
  <c r="G33" i="17" s="1"/>
  <c r="B38" i="17"/>
  <c r="G38" i="17" s="1"/>
  <c r="B47" i="17"/>
  <c r="G47" i="17" s="1"/>
  <c r="B52" i="17"/>
  <c r="G52" i="17" s="1"/>
  <c r="B57" i="17"/>
  <c r="G57" i="17" s="1"/>
  <c r="B58" i="17"/>
  <c r="G58" i="17" s="1"/>
  <c r="B54" i="17"/>
  <c r="G54" i="17" s="1"/>
  <c r="B48" i="17"/>
  <c r="G48" i="17" s="1"/>
  <c r="B53" i="17"/>
  <c r="G53" i="17" s="1"/>
  <c r="B51" i="17"/>
  <c r="G51" i="17" s="1"/>
  <c r="B56" i="17"/>
  <c r="G56" i="17" s="1"/>
  <c r="B61" i="17"/>
  <c r="G61" i="17" s="1"/>
  <c r="B62" i="17"/>
  <c r="G62" i="17" s="1"/>
  <c r="B43" i="17"/>
  <c r="G43" i="17" s="1"/>
  <c r="D34" i="17"/>
  <c r="J33" i="17"/>
  <c r="B48" i="15"/>
  <c r="G48" i="15" s="1"/>
  <c r="B33" i="15"/>
  <c r="G33" i="15" s="1"/>
  <c r="B35" i="15"/>
  <c r="G35" i="15" s="1"/>
  <c r="G29" i="15"/>
  <c r="O30" i="12"/>
  <c r="O31" i="12" s="1"/>
  <c r="O32" i="12" s="1"/>
  <c r="O33" i="12" s="1"/>
  <c r="O34" i="12" s="1"/>
  <c r="O35" i="12" s="1"/>
  <c r="O36" i="12" s="1"/>
  <c r="O37" i="12" s="1"/>
  <c r="O38" i="12" s="1"/>
  <c r="O39" i="12" s="1"/>
  <c r="O40" i="12" s="1"/>
  <c r="O41" i="12" s="1"/>
  <c r="O42" i="12" s="1"/>
  <c r="O43" i="12" s="1"/>
  <c r="B37" i="15"/>
  <c r="G37" i="15" s="1"/>
  <c r="B51" i="15"/>
  <c r="G51" i="15" s="1"/>
  <c r="B45" i="15"/>
  <c r="G45" i="15" s="1"/>
  <c r="F17" i="16"/>
  <c r="B29" i="16"/>
  <c r="G29" i="16" s="1"/>
  <c r="B54" i="15"/>
  <c r="G54" i="15" s="1"/>
  <c r="B39" i="15"/>
  <c r="G39" i="15" s="1"/>
  <c r="B34" i="15"/>
  <c r="G34" i="15" s="1"/>
  <c r="B36" i="15"/>
  <c r="G36" i="15" s="1"/>
  <c r="B33" i="16"/>
  <c r="G33" i="16" s="1"/>
  <c r="B49" i="16"/>
  <c r="G49" i="16" s="1"/>
  <c r="B64" i="16"/>
  <c r="G64" i="16" s="1"/>
  <c r="O30" i="11"/>
  <c r="O31" i="11" s="1"/>
  <c r="O32" i="11" s="1"/>
  <c r="O33" i="11" s="1"/>
  <c r="O34" i="11" s="1"/>
  <c r="O35" i="11" s="1"/>
  <c r="O36" i="11" s="1"/>
  <c r="O37" i="11" s="1"/>
  <c r="O38" i="11" s="1"/>
  <c r="O39" i="11" s="1"/>
  <c r="O40" i="11" s="1"/>
  <c r="O41" i="11" s="1"/>
  <c r="O42" i="11" s="1"/>
  <c r="O43" i="11" s="1"/>
  <c r="O44" i="11" s="1"/>
  <c r="H22" i="14"/>
  <c r="M22" i="14" s="1"/>
  <c r="B32" i="16"/>
  <c r="G32" i="16" s="1"/>
  <c r="D34" i="16"/>
  <c r="J33" i="16"/>
  <c r="D34" i="15"/>
  <c r="J33" i="15"/>
  <c r="D35" i="14"/>
  <c r="J34" i="14"/>
  <c r="H22" i="13"/>
  <c r="E29" i="13" s="1"/>
  <c r="H22" i="11"/>
  <c r="E29" i="11" s="1"/>
  <c r="D34" i="13"/>
  <c r="J33" i="13"/>
  <c r="F17" i="12"/>
  <c r="M22" i="12"/>
  <c r="E29" i="12"/>
  <c r="D34" i="12"/>
  <c r="J33" i="12"/>
  <c r="D34" i="11"/>
  <c r="J33" i="11"/>
  <c r="H22" i="10"/>
  <c r="M22" i="10" s="1"/>
  <c r="J32" i="10"/>
  <c r="D33" i="10"/>
  <c r="H22" i="9"/>
  <c r="M22" i="9" s="1"/>
  <c r="D34" i="9"/>
  <c r="J33" i="9"/>
  <c r="F17" i="8"/>
  <c r="E29" i="8"/>
  <c r="M22" i="8"/>
  <c r="J34" i="8"/>
  <c r="D35" i="8"/>
  <c r="H22" i="7"/>
  <c r="M22" i="7" s="1"/>
  <c r="D34" i="7"/>
  <c r="J33" i="7"/>
  <c r="H22" i="6"/>
  <c r="M22" i="6" s="1"/>
  <c r="D34" i="6"/>
  <c r="J33" i="6"/>
  <c r="H22" i="5"/>
  <c r="M22" i="5" s="1"/>
  <c r="D34" i="5"/>
  <c r="J33" i="5"/>
  <c r="H22" i="4"/>
  <c r="M22" i="4" s="1"/>
  <c r="O30" i="4"/>
  <c r="O31" i="4" s="1"/>
  <c r="D39" i="4"/>
  <c r="J38" i="4"/>
  <c r="G123" i="18"/>
  <c r="G25" i="33" a="1"/>
  <c r="F119" i="22"/>
  <c r="H21" i="33" a="1"/>
  <c r="J21" i="33" a="1"/>
  <c r="G119" i="20"/>
  <c r="F119" i="20"/>
  <c r="J19" i="33" a="1"/>
  <c r="H19" i="33" a="1"/>
  <c r="G119" i="23"/>
  <c r="G123" i="19"/>
  <c r="F119" i="15"/>
  <c r="J15" i="33" a="1"/>
  <c r="H15" i="33" a="1"/>
  <c r="G119" i="21"/>
  <c r="F119" i="17"/>
  <c r="H16" i="33" a="1"/>
  <c r="J16" i="33" a="1"/>
  <c r="G123" i="28"/>
  <c r="G119" i="28"/>
  <c r="F119" i="29"/>
  <c r="J28" i="33" a="1"/>
  <c r="H28" i="33" a="1"/>
  <c r="G119" i="29"/>
  <c r="F119" i="26"/>
  <c r="H24" i="33" a="1"/>
  <c r="J24" i="33" a="1"/>
  <c r="G123" i="21"/>
  <c r="G119" i="15"/>
  <c r="F119" i="18"/>
  <c r="H17" i="33" a="1"/>
  <c r="J17" i="33" a="1"/>
  <c r="G123" i="26"/>
  <c r="G119" i="17"/>
  <c r="I4" i="33" a="1"/>
  <c r="G123" i="20"/>
  <c r="G119" i="22"/>
  <c r="G119" i="26"/>
  <c r="G123" i="23"/>
  <c r="F119" i="21"/>
  <c r="H20" i="33" a="1"/>
  <c r="J20" i="33" a="1"/>
  <c r="G119" i="19"/>
  <c r="F119" i="28"/>
  <c r="J27" i="33" a="1"/>
  <c r="H27" i="33" a="1"/>
  <c r="G123" i="22"/>
  <c r="G123" i="15"/>
  <c r="G123" i="17"/>
  <c r="G119" i="18"/>
  <c r="F119" i="19"/>
  <c r="H18" i="33" a="1"/>
  <c r="J18" i="33" a="1"/>
  <c r="G5" i="33" a="1"/>
  <c r="J18" i="33" l="1"/>
  <c r="H18" i="33"/>
  <c r="F123" i="18"/>
  <c r="H27" i="33"/>
  <c r="J27" i="33"/>
  <c r="F123" i="19"/>
  <c r="J20" i="33"/>
  <c r="H20" i="33"/>
  <c r="F123" i="26"/>
  <c r="F123" i="22"/>
  <c r="I4" i="33"/>
  <c r="F123" i="17"/>
  <c r="J17" i="33"/>
  <c r="H17" i="33"/>
  <c r="F123" i="15"/>
  <c r="J24" i="33"/>
  <c r="H24" i="33"/>
  <c r="H28" i="33"/>
  <c r="J28" i="33"/>
  <c r="F123" i="28"/>
  <c r="J16" i="33"/>
  <c r="H16" i="33"/>
  <c r="F123" i="21"/>
  <c r="H15" i="33"/>
  <c r="J15" i="33"/>
  <c r="F123" i="23"/>
  <c r="H19" i="33"/>
  <c r="J19" i="33"/>
  <c r="F123" i="20"/>
  <c r="J21" i="33"/>
  <c r="H21" i="33"/>
  <c r="G25" i="33"/>
  <c r="F32" i="14"/>
  <c r="F32" i="24"/>
  <c r="O32" i="24" s="1"/>
  <c r="F32" i="4"/>
  <c r="F44" i="12"/>
  <c r="O44" i="12" s="1"/>
  <c r="O32" i="14"/>
  <c r="F45" i="11"/>
  <c r="O45" i="11" s="1"/>
  <c r="F32" i="27"/>
  <c r="O32" i="27" s="1"/>
  <c r="G5" i="33"/>
  <c r="A28" i="18"/>
  <c r="H22" i="18" s="1"/>
  <c r="A28" i="28"/>
  <c r="E29" i="28" s="1"/>
  <c r="A63" i="29"/>
  <c r="F62" i="29"/>
  <c r="B62" i="29"/>
  <c r="G62" i="29" s="1"/>
  <c r="F48" i="29"/>
  <c r="A49" i="29"/>
  <c r="B48" i="29"/>
  <c r="P29" i="29"/>
  <c r="P30" i="29" s="1"/>
  <c r="P31" i="29" s="1"/>
  <c r="P32" i="29" s="1"/>
  <c r="P33" i="29" s="1"/>
  <c r="P34" i="29" s="1"/>
  <c r="P35" i="29" s="1"/>
  <c r="P36" i="29" s="1"/>
  <c r="P37" i="29" s="1"/>
  <c r="P38" i="29" s="1"/>
  <c r="P39" i="29" s="1"/>
  <c r="P40" i="29" s="1"/>
  <c r="P41" i="29" s="1"/>
  <c r="P42" i="29" s="1"/>
  <c r="P43" i="29" s="1"/>
  <c r="P44" i="29" s="1"/>
  <c r="P45" i="29" s="1"/>
  <c r="P46" i="29" s="1"/>
  <c r="P47" i="29" s="1"/>
  <c r="D35" i="29"/>
  <c r="J34" i="29"/>
  <c r="G110" i="28"/>
  <c r="P29" i="28"/>
  <c r="P30" i="28" s="1"/>
  <c r="P31" i="28" s="1"/>
  <c r="P32" i="28" s="1"/>
  <c r="P33" i="28" s="1"/>
  <c r="P34" i="28" s="1"/>
  <c r="P35" i="28" s="1"/>
  <c r="P36" i="28" s="1"/>
  <c r="P37" i="28" s="1"/>
  <c r="P38" i="28" s="1"/>
  <c r="P39" i="28" s="1"/>
  <c r="P40" i="28" s="1"/>
  <c r="P41" i="28" s="1"/>
  <c r="P42" i="28" s="1"/>
  <c r="P43" i="28" s="1"/>
  <c r="P44" i="28" s="1"/>
  <c r="P45" i="28" s="1"/>
  <c r="P46" i="28" s="1"/>
  <c r="P47" i="28" s="1"/>
  <c r="P48" i="28" s="1"/>
  <c r="P49" i="28" s="1"/>
  <c r="P50" i="28" s="1"/>
  <c r="P51" i="28" s="1"/>
  <c r="P52" i="28" s="1"/>
  <c r="P53" i="28" s="1"/>
  <c r="P54" i="28" s="1"/>
  <c r="P55" i="28" s="1"/>
  <c r="P56" i="28" s="1"/>
  <c r="P57" i="28" s="1"/>
  <c r="P58" i="28" s="1"/>
  <c r="P59" i="28" s="1"/>
  <c r="P60" i="28" s="1"/>
  <c r="P61" i="28" s="1"/>
  <c r="P62" i="28" s="1"/>
  <c r="P63" i="28" s="1"/>
  <c r="P64" i="28" s="1"/>
  <c r="D36" i="28"/>
  <c r="J35" i="28"/>
  <c r="D36" i="27"/>
  <c r="J35" i="27"/>
  <c r="G29" i="27"/>
  <c r="L58" i="27"/>
  <c r="L50" i="27"/>
  <c r="L42" i="27"/>
  <c r="L34" i="27"/>
  <c r="L52" i="27"/>
  <c r="L61" i="27"/>
  <c r="L53" i="27"/>
  <c r="L45" i="27"/>
  <c r="L37" i="27"/>
  <c r="L29" i="27"/>
  <c r="L36" i="27"/>
  <c r="L64" i="27"/>
  <c r="L56" i="27"/>
  <c r="L48" i="27"/>
  <c r="L40" i="27"/>
  <c r="L32" i="27"/>
  <c r="K29" i="27"/>
  <c r="L59" i="27"/>
  <c r="L51" i="27"/>
  <c r="L43" i="27"/>
  <c r="L35" i="27"/>
  <c r="L60" i="27"/>
  <c r="L62" i="27"/>
  <c r="L54" i="27"/>
  <c r="L46" i="27"/>
  <c r="L38" i="27"/>
  <c r="L30" i="27"/>
  <c r="L57" i="27"/>
  <c r="L49" i="27"/>
  <c r="L41" i="27"/>
  <c r="L33" i="27"/>
  <c r="L44" i="27"/>
  <c r="L63" i="27"/>
  <c r="L55" i="27"/>
  <c r="L47" i="27"/>
  <c r="L39" i="27"/>
  <c r="L31" i="27"/>
  <c r="E29" i="24"/>
  <c r="A28" i="20"/>
  <c r="H22" i="20" s="1"/>
  <c r="A28" i="22"/>
  <c r="H22" i="22" s="1"/>
  <c r="A28" i="26"/>
  <c r="E29" i="26" s="1"/>
  <c r="H29" i="26" s="1"/>
  <c r="E30" i="26" s="1"/>
  <c r="H30" i="26" s="1"/>
  <c r="E31" i="26" s="1"/>
  <c r="H31" i="26" s="1"/>
  <c r="E32" i="26" s="1"/>
  <c r="H32" i="26" s="1"/>
  <c r="E33" i="26" s="1"/>
  <c r="H33" i="26" s="1"/>
  <c r="E34" i="26" s="1"/>
  <c r="H34" i="26" s="1"/>
  <c r="E35" i="26" s="1"/>
  <c r="L53" i="24"/>
  <c r="L57" i="24"/>
  <c r="L61" i="24"/>
  <c r="L56" i="24"/>
  <c r="L60" i="24"/>
  <c r="L64" i="24"/>
  <c r="L54" i="24"/>
  <c r="L58" i="24"/>
  <c r="L62" i="24"/>
  <c r="L55" i="24"/>
  <c r="L59" i="24"/>
  <c r="L63" i="24"/>
  <c r="G110" i="26"/>
  <c r="P29" i="26"/>
  <c r="P30" i="26" s="1"/>
  <c r="P31" i="26" s="1"/>
  <c r="P32" i="26" s="1"/>
  <c r="P33" i="26" s="1"/>
  <c r="P34" i="26" s="1"/>
  <c r="P35" i="26" s="1"/>
  <c r="P36" i="26" s="1"/>
  <c r="P37" i="26" s="1"/>
  <c r="P38" i="26" s="1"/>
  <c r="P39" i="26" s="1"/>
  <c r="P40" i="26" s="1"/>
  <c r="P41" i="26" s="1"/>
  <c r="P42" i="26" s="1"/>
  <c r="P43" i="26" s="1"/>
  <c r="P44" i="26" s="1"/>
  <c r="P45" i="26" s="1"/>
  <c r="P46" i="26" s="1"/>
  <c r="P47" i="26" s="1"/>
  <c r="P48" i="26" s="1"/>
  <c r="P49" i="26" s="1"/>
  <c r="P50" i="26" s="1"/>
  <c r="P51" i="26" s="1"/>
  <c r="P52" i="26" s="1"/>
  <c r="P53" i="26" s="1"/>
  <c r="P54" i="26" s="1"/>
  <c r="P55" i="26" s="1"/>
  <c r="P56" i="26" s="1"/>
  <c r="P57" i="26" s="1"/>
  <c r="P58" i="26" s="1"/>
  <c r="P59" i="26" s="1"/>
  <c r="P60" i="26" s="1"/>
  <c r="P61" i="26" s="1"/>
  <c r="P62" i="26" s="1"/>
  <c r="P63" i="26" s="1"/>
  <c r="P64" i="26" s="1"/>
  <c r="J33" i="26"/>
  <c r="D34" i="26"/>
  <c r="L50" i="24"/>
  <c r="L42" i="24"/>
  <c r="L34" i="24"/>
  <c r="L39" i="24"/>
  <c r="L45" i="24"/>
  <c r="L37" i="24"/>
  <c r="L29" i="24"/>
  <c r="L48" i="24"/>
  <c r="L40" i="24"/>
  <c r="L32" i="24"/>
  <c r="K29" i="24"/>
  <c r="L47" i="24"/>
  <c r="L51" i="24"/>
  <c r="L43" i="24"/>
  <c r="L35" i="24"/>
  <c r="L46" i="24"/>
  <c r="L38" i="24"/>
  <c r="L30" i="24"/>
  <c r="L49" i="24"/>
  <c r="L41" i="24"/>
  <c r="L33" i="24"/>
  <c r="L52" i="24"/>
  <c r="L44" i="24"/>
  <c r="L36" i="24"/>
  <c r="L31" i="24"/>
  <c r="D35" i="24"/>
  <c r="J34" i="24"/>
  <c r="G29" i="23"/>
  <c r="A28" i="23"/>
  <c r="D36" i="23"/>
  <c r="J35" i="23"/>
  <c r="A28" i="21"/>
  <c r="E29" i="21" s="1"/>
  <c r="D34" i="22"/>
  <c r="J33" i="22"/>
  <c r="G110" i="22"/>
  <c r="P29" i="22"/>
  <c r="P30" i="22" s="1"/>
  <c r="P31" i="22" s="1"/>
  <c r="P32" i="22" s="1"/>
  <c r="P33" i="22" s="1"/>
  <c r="P34" i="22" s="1"/>
  <c r="P35" i="22" s="1"/>
  <c r="P36" i="22" s="1"/>
  <c r="P37" i="22" s="1"/>
  <c r="P38" i="22" s="1"/>
  <c r="P39" i="22" s="1"/>
  <c r="P40" i="22" s="1"/>
  <c r="P41" i="22" s="1"/>
  <c r="P42" i="22" s="1"/>
  <c r="P43" i="22" s="1"/>
  <c r="P44" i="22" s="1"/>
  <c r="P45" i="22" s="1"/>
  <c r="P46" i="22" s="1"/>
  <c r="P47" i="22" s="1"/>
  <c r="P48" i="22" s="1"/>
  <c r="P49" i="22" s="1"/>
  <c r="P50" i="22" s="1"/>
  <c r="P51" i="22" s="1"/>
  <c r="P52" i="22" s="1"/>
  <c r="P53" i="22" s="1"/>
  <c r="P54" i="22" s="1"/>
  <c r="P55" i="22" s="1"/>
  <c r="P56" i="22" s="1"/>
  <c r="P57" i="22" s="1"/>
  <c r="P58" i="22" s="1"/>
  <c r="P59" i="22" s="1"/>
  <c r="P60" i="22" s="1"/>
  <c r="P61" i="22" s="1"/>
  <c r="P62" i="22" s="1"/>
  <c r="P63" i="22" s="1"/>
  <c r="P64" i="22" s="1"/>
  <c r="G110" i="21"/>
  <c r="P29" i="21"/>
  <c r="P30" i="21" s="1"/>
  <c r="P31" i="21" s="1"/>
  <c r="P32" i="21" s="1"/>
  <c r="P33" i="21" s="1"/>
  <c r="P34" i="21" s="1"/>
  <c r="P35" i="21" s="1"/>
  <c r="P36" i="21" s="1"/>
  <c r="P37" i="21" s="1"/>
  <c r="P38" i="21" s="1"/>
  <c r="P39" i="21" s="1"/>
  <c r="P40" i="21" s="1"/>
  <c r="P41" i="21" s="1"/>
  <c r="P42" i="21" s="1"/>
  <c r="P43" i="21" s="1"/>
  <c r="P44" i="21" s="1"/>
  <c r="P45" i="21" s="1"/>
  <c r="P46" i="21" s="1"/>
  <c r="P47" i="21" s="1"/>
  <c r="P48" i="21" s="1"/>
  <c r="P49" i="21" s="1"/>
  <c r="P50" i="21" s="1"/>
  <c r="P51" i="21" s="1"/>
  <c r="P52" i="21" s="1"/>
  <c r="P53" i="21" s="1"/>
  <c r="P54" i="21" s="1"/>
  <c r="P55" i="21" s="1"/>
  <c r="P56" i="21" s="1"/>
  <c r="P57" i="21" s="1"/>
  <c r="P58" i="21" s="1"/>
  <c r="P59" i="21" s="1"/>
  <c r="P60" i="21" s="1"/>
  <c r="P61" i="21" s="1"/>
  <c r="P62" i="21" s="1"/>
  <c r="P63" i="21" s="1"/>
  <c r="P64" i="21" s="1"/>
  <c r="J34" i="21"/>
  <c r="D35" i="21"/>
  <c r="A28" i="19"/>
  <c r="E29" i="19" s="1"/>
  <c r="H29" i="19" s="1"/>
  <c r="E30" i="19" s="1"/>
  <c r="D34" i="20"/>
  <c r="J33" i="20"/>
  <c r="G110" i="20"/>
  <c r="P29" i="20"/>
  <c r="P30" i="20" s="1"/>
  <c r="P31" i="20" s="1"/>
  <c r="P32" i="20" s="1"/>
  <c r="P33" i="20" s="1"/>
  <c r="P34" i="20" s="1"/>
  <c r="P35" i="20" s="1"/>
  <c r="P36" i="20" s="1"/>
  <c r="P37" i="20" s="1"/>
  <c r="P38" i="20" s="1"/>
  <c r="P39" i="20" s="1"/>
  <c r="P40" i="20" s="1"/>
  <c r="P41" i="20" s="1"/>
  <c r="P42" i="20" s="1"/>
  <c r="P43" i="20" s="1"/>
  <c r="P44" i="20" s="1"/>
  <c r="P45" i="20" s="1"/>
  <c r="P46" i="20" s="1"/>
  <c r="P47" i="20" s="1"/>
  <c r="P48" i="20" s="1"/>
  <c r="P49" i="20" s="1"/>
  <c r="P50" i="20" s="1"/>
  <c r="P51" i="20" s="1"/>
  <c r="P52" i="20" s="1"/>
  <c r="P53" i="20" s="1"/>
  <c r="P54" i="20" s="1"/>
  <c r="P55" i="20" s="1"/>
  <c r="P56" i="20" s="1"/>
  <c r="P57" i="20" s="1"/>
  <c r="P58" i="20" s="1"/>
  <c r="P59" i="20" s="1"/>
  <c r="P60" i="20" s="1"/>
  <c r="P61" i="20" s="1"/>
  <c r="P62" i="20" s="1"/>
  <c r="P63" i="20" s="1"/>
  <c r="P64" i="20" s="1"/>
  <c r="G110" i="19"/>
  <c r="P29" i="19"/>
  <c r="P30" i="19" s="1"/>
  <c r="P31" i="19" s="1"/>
  <c r="P32" i="19" s="1"/>
  <c r="P33" i="19" s="1"/>
  <c r="P34" i="19" s="1"/>
  <c r="P35" i="19" s="1"/>
  <c r="P36" i="19" s="1"/>
  <c r="P37" i="19" s="1"/>
  <c r="P38" i="19" s="1"/>
  <c r="P39" i="19" s="1"/>
  <c r="P40" i="19" s="1"/>
  <c r="P41" i="19" s="1"/>
  <c r="P42" i="19" s="1"/>
  <c r="P43" i="19" s="1"/>
  <c r="P44" i="19" s="1"/>
  <c r="P45" i="19" s="1"/>
  <c r="P46" i="19" s="1"/>
  <c r="P47" i="19" s="1"/>
  <c r="P48" i="19" s="1"/>
  <c r="P49" i="19" s="1"/>
  <c r="P50" i="19" s="1"/>
  <c r="P51" i="19" s="1"/>
  <c r="P52" i="19" s="1"/>
  <c r="P53" i="19" s="1"/>
  <c r="P54" i="19" s="1"/>
  <c r="P55" i="19" s="1"/>
  <c r="P56" i="19" s="1"/>
  <c r="P57" i="19" s="1"/>
  <c r="P58" i="19" s="1"/>
  <c r="P59" i="19" s="1"/>
  <c r="P60" i="19" s="1"/>
  <c r="P61" i="19" s="1"/>
  <c r="P62" i="19" s="1"/>
  <c r="P63" i="19" s="1"/>
  <c r="P64" i="19" s="1"/>
  <c r="J34" i="19"/>
  <c r="D35" i="19"/>
  <c r="D36" i="18"/>
  <c r="J35" i="18"/>
  <c r="E29" i="18"/>
  <c r="G110" i="18"/>
  <c r="P29" i="18"/>
  <c r="P30" i="18" s="1"/>
  <c r="P31" i="18" s="1"/>
  <c r="P32" i="18" s="1"/>
  <c r="P33" i="18" s="1"/>
  <c r="P34" i="18" s="1"/>
  <c r="P35" i="18" s="1"/>
  <c r="P36" i="18" s="1"/>
  <c r="P37" i="18" s="1"/>
  <c r="P38" i="18" s="1"/>
  <c r="P39" i="18" s="1"/>
  <c r="P40" i="18" s="1"/>
  <c r="P41" i="18" s="1"/>
  <c r="P42" i="18" s="1"/>
  <c r="P43" i="18" s="1"/>
  <c r="P44" i="18" s="1"/>
  <c r="P45" i="18" s="1"/>
  <c r="P46" i="18" s="1"/>
  <c r="P47" i="18" s="1"/>
  <c r="P48" i="18" s="1"/>
  <c r="P49" i="18" s="1"/>
  <c r="P50" i="18" s="1"/>
  <c r="P51" i="18" s="1"/>
  <c r="P52" i="18" s="1"/>
  <c r="P53" i="18" s="1"/>
  <c r="P54" i="18" s="1"/>
  <c r="P55" i="18" s="1"/>
  <c r="P56" i="18" s="1"/>
  <c r="P57" i="18" s="1"/>
  <c r="P58" i="18" s="1"/>
  <c r="P59" i="18" s="1"/>
  <c r="P60" i="18" s="1"/>
  <c r="P61" i="18" s="1"/>
  <c r="P62" i="18" s="1"/>
  <c r="P63" i="18" s="1"/>
  <c r="P64" i="18" s="1"/>
  <c r="A28" i="15"/>
  <c r="E29" i="15" s="1"/>
  <c r="A28" i="17"/>
  <c r="G29" i="17"/>
  <c r="J34" i="17"/>
  <c r="D35" i="17"/>
  <c r="A28" i="16"/>
  <c r="E29" i="16" s="1"/>
  <c r="H29" i="16" s="1"/>
  <c r="E30" i="16" s="1"/>
  <c r="H30" i="16" s="1"/>
  <c r="E31" i="16" s="1"/>
  <c r="H31" i="16" s="1"/>
  <c r="E32" i="16" s="1"/>
  <c r="H32" i="16" s="1"/>
  <c r="E33" i="16" s="1"/>
  <c r="H33" i="16" s="1"/>
  <c r="E34" i="16" s="1"/>
  <c r="H34" i="16" s="1"/>
  <c r="E35" i="16" s="1"/>
  <c r="H35" i="16" s="1"/>
  <c r="E36" i="16" s="1"/>
  <c r="H36" i="16" s="1"/>
  <c r="E37" i="16" s="1"/>
  <c r="H37" i="16" s="1"/>
  <c r="E38" i="16" s="1"/>
  <c r="H38" i="16" s="1"/>
  <c r="E39" i="16" s="1"/>
  <c r="H39" i="16" s="1"/>
  <c r="E40" i="16" s="1"/>
  <c r="H40" i="16" s="1"/>
  <c r="E41" i="16" s="1"/>
  <c r="H41" i="16" s="1"/>
  <c r="E42" i="16" s="1"/>
  <c r="H42" i="16" s="1"/>
  <c r="E43" i="16" s="1"/>
  <c r="H43" i="16" s="1"/>
  <c r="E44" i="16" s="1"/>
  <c r="H44" i="16" s="1"/>
  <c r="E45" i="16" s="1"/>
  <c r="H45" i="16" s="1"/>
  <c r="E46" i="16" s="1"/>
  <c r="H46" i="16" s="1"/>
  <c r="E47" i="16" s="1"/>
  <c r="H47" i="16" s="1"/>
  <c r="E48" i="16" s="1"/>
  <c r="H48" i="16" s="1"/>
  <c r="E49" i="16" s="1"/>
  <c r="H49" i="16" s="1"/>
  <c r="E50" i="16" s="1"/>
  <c r="H50" i="16" s="1"/>
  <c r="E51" i="16" s="1"/>
  <c r="H51" i="16" s="1"/>
  <c r="E52" i="16" s="1"/>
  <c r="H52" i="16" s="1"/>
  <c r="E53" i="16" s="1"/>
  <c r="H53" i="16" s="1"/>
  <c r="E54" i="16" s="1"/>
  <c r="H54" i="16" s="1"/>
  <c r="E55" i="16" s="1"/>
  <c r="H55" i="16" s="1"/>
  <c r="E56" i="16" s="1"/>
  <c r="H56" i="16" s="1"/>
  <c r="E57" i="16" s="1"/>
  <c r="H57" i="16" s="1"/>
  <c r="E58" i="16" s="1"/>
  <c r="H58" i="16" s="1"/>
  <c r="E59" i="16" s="1"/>
  <c r="H59" i="16" s="1"/>
  <c r="E60" i="16" s="1"/>
  <c r="H60" i="16" s="1"/>
  <c r="E61" i="16" s="1"/>
  <c r="H61" i="16" s="1"/>
  <c r="E62" i="16" s="1"/>
  <c r="H62" i="16" s="1"/>
  <c r="E63" i="16" s="1"/>
  <c r="H63" i="16" s="1"/>
  <c r="E64" i="16" s="1"/>
  <c r="H64" i="16" s="1"/>
  <c r="E29" i="14"/>
  <c r="G110" i="16"/>
  <c r="E110" i="16" s="1"/>
  <c r="P29" i="16"/>
  <c r="P30" i="16" s="1"/>
  <c r="P31" i="16" s="1"/>
  <c r="P32" i="16" s="1"/>
  <c r="P33" i="16" s="1"/>
  <c r="P34" i="16" s="1"/>
  <c r="P35" i="16" s="1"/>
  <c r="P36" i="16" s="1"/>
  <c r="P37" i="16" s="1"/>
  <c r="P38" i="16" s="1"/>
  <c r="P39" i="16" s="1"/>
  <c r="P40" i="16" s="1"/>
  <c r="P41" i="16" s="1"/>
  <c r="P42" i="16" s="1"/>
  <c r="P43" i="16" s="1"/>
  <c r="P44" i="16" s="1"/>
  <c r="P45" i="16" s="1"/>
  <c r="P46" i="16" s="1"/>
  <c r="P47" i="16" s="1"/>
  <c r="P48" i="16" s="1"/>
  <c r="P49" i="16" s="1"/>
  <c r="P50" i="16" s="1"/>
  <c r="P51" i="16" s="1"/>
  <c r="P52" i="16" s="1"/>
  <c r="P53" i="16" s="1"/>
  <c r="P54" i="16" s="1"/>
  <c r="P55" i="16" s="1"/>
  <c r="P56" i="16" s="1"/>
  <c r="P57" i="16" s="1"/>
  <c r="P58" i="16" s="1"/>
  <c r="P59" i="16" s="1"/>
  <c r="P60" i="16" s="1"/>
  <c r="P61" i="16" s="1"/>
  <c r="P62" i="16" s="1"/>
  <c r="P63" i="16" s="1"/>
  <c r="P64" i="16" s="1"/>
  <c r="J34" i="16"/>
  <c r="D35" i="16"/>
  <c r="L63" i="16"/>
  <c r="L59" i="16"/>
  <c r="L55" i="16"/>
  <c r="L51" i="16"/>
  <c r="L47" i="16"/>
  <c r="L43" i="16"/>
  <c r="L39" i="16"/>
  <c r="L35" i="16"/>
  <c r="L31" i="16"/>
  <c r="L64" i="16"/>
  <c r="L60" i="16"/>
  <c r="L56" i="16"/>
  <c r="L52" i="16"/>
  <c r="L48" i="16"/>
  <c r="L44" i="16"/>
  <c r="L40" i="16"/>
  <c r="L36" i="16"/>
  <c r="L32" i="16"/>
  <c r="L61" i="16"/>
  <c r="L57" i="16"/>
  <c r="L53" i="16"/>
  <c r="L49" i="16"/>
  <c r="L45" i="16"/>
  <c r="L41" i="16"/>
  <c r="L37" i="16"/>
  <c r="L33" i="16"/>
  <c r="L29" i="16"/>
  <c r="Q29" i="16" s="1"/>
  <c r="K29" i="16"/>
  <c r="L62" i="16"/>
  <c r="L58" i="16"/>
  <c r="L54" i="16"/>
  <c r="L50" i="16"/>
  <c r="L30" i="16"/>
  <c r="L46" i="16"/>
  <c r="L34" i="16"/>
  <c r="L42" i="16"/>
  <c r="L38" i="16"/>
  <c r="D35" i="15"/>
  <c r="J34" i="15"/>
  <c r="D36" i="14"/>
  <c r="J35" i="14"/>
  <c r="L50" i="14"/>
  <c r="L42" i="14"/>
  <c r="L34" i="14"/>
  <c r="L45" i="14"/>
  <c r="L37" i="14"/>
  <c r="L29" i="14"/>
  <c r="L44" i="14"/>
  <c r="L48" i="14"/>
  <c r="L40" i="14"/>
  <c r="L32" i="14"/>
  <c r="K29" i="14"/>
  <c r="L52" i="14"/>
  <c r="L51" i="14"/>
  <c r="L43" i="14"/>
  <c r="L35" i="14"/>
  <c r="L46" i="14"/>
  <c r="L38" i="14"/>
  <c r="L30" i="14"/>
  <c r="L36" i="14"/>
  <c r="L47" i="14"/>
  <c r="L49" i="14"/>
  <c r="L41" i="14"/>
  <c r="L33" i="14"/>
  <c r="L39" i="14"/>
  <c r="L31" i="14"/>
  <c r="M22" i="13"/>
  <c r="L50" i="13" s="1"/>
  <c r="M22" i="11"/>
  <c r="L45" i="11" s="1"/>
  <c r="G29" i="13"/>
  <c r="D35" i="13"/>
  <c r="J34" i="13"/>
  <c r="L58" i="12"/>
  <c r="L50" i="12"/>
  <c r="L42" i="12"/>
  <c r="L34" i="12"/>
  <c r="L32" i="12"/>
  <c r="L61" i="12"/>
  <c r="L53" i="12"/>
  <c r="L45" i="12"/>
  <c r="L37" i="12"/>
  <c r="L29" i="12"/>
  <c r="Q29" i="12" s="1"/>
  <c r="L64" i="12"/>
  <c r="L56" i="12"/>
  <c r="L48" i="12"/>
  <c r="L40" i="12"/>
  <c r="L59" i="12"/>
  <c r="L51" i="12"/>
  <c r="L43" i="12"/>
  <c r="L35" i="12"/>
  <c r="L57" i="12"/>
  <c r="L49" i="12"/>
  <c r="L41" i="12"/>
  <c r="L33" i="12"/>
  <c r="L60" i="12"/>
  <c r="L52" i="12"/>
  <c r="L44" i="12"/>
  <c r="L36" i="12"/>
  <c r="L63" i="12"/>
  <c r="L54" i="12"/>
  <c r="L62" i="12"/>
  <c r="L39" i="12"/>
  <c r="L46" i="12"/>
  <c r="L31" i="12"/>
  <c r="L38" i="12"/>
  <c r="K29" i="12"/>
  <c r="M29" i="12" s="1"/>
  <c r="K30" i="12" s="1"/>
  <c r="L55" i="12"/>
  <c r="L30" i="12"/>
  <c r="L47" i="12"/>
  <c r="J34" i="12"/>
  <c r="D35" i="12"/>
  <c r="G29" i="12"/>
  <c r="G29" i="11"/>
  <c r="H29" i="11" s="1"/>
  <c r="E30" i="11" s="1"/>
  <c r="D35" i="11"/>
  <c r="J34" i="11"/>
  <c r="E29" i="10"/>
  <c r="G29" i="10" s="1"/>
  <c r="L66" i="9"/>
  <c r="L67" i="9"/>
  <c r="L65" i="9"/>
  <c r="J33" i="10"/>
  <c r="D34" i="10"/>
  <c r="L62" i="10"/>
  <c r="L60" i="10"/>
  <c r="L52" i="10"/>
  <c r="L44" i="10"/>
  <c r="L36" i="10"/>
  <c r="L63" i="10"/>
  <c r="L55" i="10"/>
  <c r="L47" i="10"/>
  <c r="L39" i="10"/>
  <c r="L58" i="10"/>
  <c r="L64" i="10"/>
  <c r="L56" i="10"/>
  <c r="L48" i="10"/>
  <c r="L40" i="10"/>
  <c r="L32" i="10"/>
  <c r="K29" i="10"/>
  <c r="L35" i="10"/>
  <c r="L29" i="10"/>
  <c r="Q29" i="10" s="1"/>
  <c r="L61" i="10"/>
  <c r="L57" i="10"/>
  <c r="L54" i="10"/>
  <c r="L53" i="10"/>
  <c r="L51" i="10"/>
  <c r="L50" i="10"/>
  <c r="L33" i="10"/>
  <c r="L49" i="10"/>
  <c r="L46" i="10"/>
  <c r="L45" i="10"/>
  <c r="L37" i="10"/>
  <c r="L38" i="10"/>
  <c r="L41" i="10"/>
  <c r="L43" i="10"/>
  <c r="L34" i="10"/>
  <c r="L30" i="10"/>
  <c r="L31" i="10"/>
  <c r="L59" i="10"/>
  <c r="L42" i="10"/>
  <c r="E29" i="9"/>
  <c r="G29" i="9" s="1"/>
  <c r="D35" i="9"/>
  <c r="J34" i="9"/>
  <c r="L58" i="9"/>
  <c r="L50" i="9"/>
  <c r="L42" i="9"/>
  <c r="L34" i="9"/>
  <c r="L60" i="9"/>
  <c r="L61" i="9"/>
  <c r="L53" i="9"/>
  <c r="L45" i="9"/>
  <c r="L37" i="9"/>
  <c r="L29" i="9"/>
  <c r="Q29" i="9" s="1"/>
  <c r="L64" i="9"/>
  <c r="L56" i="9"/>
  <c r="L48" i="9"/>
  <c r="L40" i="9"/>
  <c r="L32" i="9"/>
  <c r="K29" i="9"/>
  <c r="L59" i="9"/>
  <c r="L51" i="9"/>
  <c r="L43" i="9"/>
  <c r="L35" i="9"/>
  <c r="L62" i="9"/>
  <c r="L54" i="9"/>
  <c r="L46" i="9"/>
  <c r="L38" i="9"/>
  <c r="L30" i="9"/>
  <c r="L57" i="9"/>
  <c r="L49" i="9"/>
  <c r="L41" i="9"/>
  <c r="L33" i="9"/>
  <c r="L39" i="9"/>
  <c r="L31" i="9"/>
  <c r="L36" i="9"/>
  <c r="L44" i="9"/>
  <c r="L55" i="9"/>
  <c r="L52" i="9"/>
  <c r="L47" i="9"/>
  <c r="L63" i="9"/>
  <c r="D36" i="8"/>
  <c r="J35" i="8"/>
  <c r="L34" i="8"/>
  <c r="L29" i="8"/>
  <c r="L32" i="8"/>
  <c r="L40" i="8"/>
  <c r="L35" i="8"/>
  <c r="L36" i="8"/>
  <c r="L38" i="8"/>
  <c r="L30" i="8"/>
  <c r="L33" i="8"/>
  <c r="L39" i="8"/>
  <c r="L31" i="8"/>
  <c r="L37" i="8"/>
  <c r="K29" i="8"/>
  <c r="G29" i="8"/>
  <c r="E29" i="6"/>
  <c r="G29" i="6" s="1"/>
  <c r="H29" i="6" s="1"/>
  <c r="E30" i="6" s="1"/>
  <c r="E29" i="7"/>
  <c r="G29" i="7" s="1"/>
  <c r="D35" i="7"/>
  <c r="J34" i="7"/>
  <c r="L58" i="7"/>
  <c r="L50" i="7"/>
  <c r="L42" i="7"/>
  <c r="L34" i="7"/>
  <c r="L37" i="7"/>
  <c r="L61" i="7"/>
  <c r="L53" i="7"/>
  <c r="L45" i="7"/>
  <c r="L64" i="7"/>
  <c r="L56" i="7"/>
  <c r="L48" i="7"/>
  <c r="L40" i="7"/>
  <c r="L32" i="7"/>
  <c r="K29" i="7"/>
  <c r="L60" i="7"/>
  <c r="L59" i="7"/>
  <c r="L51" i="7"/>
  <c r="L43" i="7"/>
  <c r="L35" i="7"/>
  <c r="L62" i="7"/>
  <c r="L54" i="7"/>
  <c r="L46" i="7"/>
  <c r="L38" i="7"/>
  <c r="L30" i="7"/>
  <c r="L57" i="7"/>
  <c r="L49" i="7"/>
  <c r="L41" i="7"/>
  <c r="L33" i="7"/>
  <c r="L63" i="7"/>
  <c r="L55" i="7"/>
  <c r="L47" i="7"/>
  <c r="L39" i="7"/>
  <c r="L31" i="7"/>
  <c r="L29" i="7"/>
  <c r="Q29" i="7" s="1"/>
  <c r="L36" i="7"/>
  <c r="L44" i="7"/>
  <c r="L52" i="7"/>
  <c r="L43" i="6"/>
  <c r="L47" i="6"/>
  <c r="L51" i="6"/>
  <c r="L55" i="6"/>
  <c r="L59" i="6"/>
  <c r="L63" i="6"/>
  <c r="L44" i="6"/>
  <c r="L48" i="6"/>
  <c r="L52" i="6"/>
  <c r="L56" i="6"/>
  <c r="L60" i="6"/>
  <c r="L64" i="6"/>
  <c r="L50" i="6"/>
  <c r="L62" i="6"/>
  <c r="L41" i="6"/>
  <c r="L45" i="6"/>
  <c r="L49" i="6"/>
  <c r="L53" i="6"/>
  <c r="L57" i="6"/>
  <c r="L61" i="6"/>
  <c r="L42" i="6"/>
  <c r="L46" i="6"/>
  <c r="L54" i="6"/>
  <c r="L58" i="6"/>
  <c r="D35" i="6"/>
  <c r="J34" i="6"/>
  <c r="L34" i="6"/>
  <c r="L30" i="6"/>
  <c r="L37" i="6"/>
  <c r="L29" i="6"/>
  <c r="Q29" i="6" s="1"/>
  <c r="L40" i="6"/>
  <c r="L32" i="6"/>
  <c r="K29" i="6"/>
  <c r="L38" i="6"/>
  <c r="L33" i="6"/>
  <c r="L36" i="6"/>
  <c r="L35" i="6"/>
  <c r="L31" i="6"/>
  <c r="L39" i="6"/>
  <c r="E29" i="5"/>
  <c r="L34" i="5"/>
  <c r="L37" i="5"/>
  <c r="L29" i="5"/>
  <c r="L40" i="5"/>
  <c r="L32" i="5"/>
  <c r="K29" i="5"/>
  <c r="L35" i="5"/>
  <c r="L36" i="5"/>
  <c r="L38" i="5"/>
  <c r="L30" i="5"/>
  <c r="L33" i="5"/>
  <c r="L39" i="5"/>
  <c r="L31" i="5"/>
  <c r="D35" i="5"/>
  <c r="J34" i="5"/>
  <c r="E29" i="4"/>
  <c r="J39" i="4"/>
  <c r="D40" i="4"/>
  <c r="L58" i="4"/>
  <c r="L50" i="4"/>
  <c r="L42" i="4"/>
  <c r="L34" i="4"/>
  <c r="L59" i="4"/>
  <c r="L51" i="4"/>
  <c r="L43" i="4"/>
  <c r="L35" i="4"/>
  <c r="L57" i="4"/>
  <c r="L60" i="4"/>
  <c r="L52" i="4"/>
  <c r="L44" i="4"/>
  <c r="L36" i="4"/>
  <c r="L63" i="4"/>
  <c r="L55" i="4"/>
  <c r="L30" i="4"/>
  <c r="L53" i="4"/>
  <c r="L54" i="4"/>
  <c r="L49" i="4"/>
  <c r="L48" i="4"/>
  <c r="L47" i="4"/>
  <c r="L46" i="4"/>
  <c r="L45" i="4"/>
  <c r="L61" i="4"/>
  <c r="L41" i="4"/>
  <c r="L40" i="4"/>
  <c r="L39" i="4"/>
  <c r="L38" i="4"/>
  <c r="L37" i="4"/>
  <c r="L33" i="4"/>
  <c r="K29" i="4"/>
  <c r="L56" i="4"/>
  <c r="L62" i="4"/>
  <c r="L29" i="4"/>
  <c r="L64" i="4"/>
  <c r="L31" i="4"/>
  <c r="L32" i="4"/>
  <c r="G27" i="33" a="1"/>
  <c r="K23" i="33" a="1"/>
  <c r="F23" i="33" a="1"/>
  <c r="K9" i="33" a="1"/>
  <c r="K6" i="33" a="1"/>
  <c r="F25" i="33" a="1"/>
  <c r="G24" i="33" a="1"/>
  <c r="F119" i="23"/>
  <c r="J22" i="33" a="1"/>
  <c r="H22" i="33" a="1"/>
  <c r="G20" i="33" a="1"/>
  <c r="G17" i="33" a="1"/>
  <c r="K12" i="33" a="1"/>
  <c r="K7" i="33" a="1"/>
  <c r="G6" i="33" a="1"/>
  <c r="G4" i="33" a="1"/>
  <c r="K4" i="33" a="1"/>
  <c r="K25" i="33" a="1"/>
  <c r="G23" i="33" a="1"/>
  <c r="G18" i="33" a="1"/>
  <c r="K14" i="33" a="1"/>
  <c r="K8" i="33" a="1"/>
  <c r="F4" i="33" a="1"/>
  <c r="G14" i="33" a="1"/>
  <c r="F14" i="33" a="1"/>
  <c r="K10" i="33" a="1"/>
  <c r="F6" i="33" a="1"/>
  <c r="K5" i="33" a="1"/>
  <c r="F5" i="33" a="1"/>
  <c r="F6" i="33" l="1"/>
  <c r="K10" i="33"/>
  <c r="F14" i="33"/>
  <c r="G14" i="33"/>
  <c r="F4" i="33"/>
  <c r="K8" i="33"/>
  <c r="K14" i="33"/>
  <c r="G18" i="33"/>
  <c r="G23" i="33"/>
  <c r="K25" i="33"/>
  <c r="K4" i="33"/>
  <c r="G4" i="33"/>
  <c r="G6" i="33"/>
  <c r="K7" i="33"/>
  <c r="K12" i="33"/>
  <c r="G17" i="33"/>
  <c r="G20" i="33"/>
  <c r="H22" i="33"/>
  <c r="J22" i="33"/>
  <c r="G24" i="33"/>
  <c r="F25" i="33"/>
  <c r="K6" i="33"/>
  <c r="K9" i="33"/>
  <c r="F23" i="33"/>
  <c r="K23" i="33"/>
  <c r="G27" i="33"/>
  <c r="F116" i="5"/>
  <c r="F116" i="14"/>
  <c r="G29" i="14"/>
  <c r="F45" i="12"/>
  <c r="O45" i="12" s="1"/>
  <c r="F33" i="24"/>
  <c r="F116" i="4"/>
  <c r="Q29" i="14"/>
  <c r="H30" i="19"/>
  <c r="E31" i="19" s="1"/>
  <c r="H31" i="19" s="1"/>
  <c r="E32" i="19" s="1"/>
  <c r="H32" i="19" s="1"/>
  <c r="E33" i="19" s="1"/>
  <c r="H33" i="19" s="1"/>
  <c r="E34" i="19" s="1"/>
  <c r="H34" i="19" s="1"/>
  <c r="E35" i="19" s="1"/>
  <c r="H35" i="19" s="1"/>
  <c r="E36" i="19" s="1"/>
  <c r="H36" i="19" s="1"/>
  <c r="E37" i="19" s="1"/>
  <c r="H37" i="19" s="1"/>
  <c r="E38" i="19" s="1"/>
  <c r="H38" i="19" s="1"/>
  <c r="E39" i="19" s="1"/>
  <c r="H39" i="19" s="1"/>
  <c r="E40" i="19" s="1"/>
  <c r="H40" i="19" s="1"/>
  <c r="E41" i="19" s="1"/>
  <c r="H41" i="19" s="1"/>
  <c r="E42" i="19" s="1"/>
  <c r="H42" i="19" s="1"/>
  <c r="E43" i="19" s="1"/>
  <c r="H43" i="19" s="1"/>
  <c r="E44" i="19" s="1"/>
  <c r="H44" i="19" s="1"/>
  <c r="E45" i="19" s="1"/>
  <c r="H45" i="19" s="1"/>
  <c r="E46" i="19" s="1"/>
  <c r="H46" i="19" s="1"/>
  <c r="E47" i="19" s="1"/>
  <c r="H47" i="19" s="1"/>
  <c r="E48" i="19" s="1"/>
  <c r="H48" i="19" s="1"/>
  <c r="E49" i="19" s="1"/>
  <c r="H49" i="19" s="1"/>
  <c r="E50" i="19" s="1"/>
  <c r="H50" i="19" s="1"/>
  <c r="E51" i="19" s="1"/>
  <c r="H51" i="19" s="1"/>
  <c r="E52" i="19" s="1"/>
  <c r="H52" i="19" s="1"/>
  <c r="E53" i="19" s="1"/>
  <c r="H53" i="19" s="1"/>
  <c r="E54" i="19" s="1"/>
  <c r="H54" i="19" s="1"/>
  <c r="E55" i="19" s="1"/>
  <c r="H55" i="19" s="1"/>
  <c r="E56" i="19" s="1"/>
  <c r="H56" i="19" s="1"/>
  <c r="E57" i="19" s="1"/>
  <c r="H57" i="19" s="1"/>
  <c r="E58" i="19" s="1"/>
  <c r="H58" i="19" s="1"/>
  <c r="E59" i="19" s="1"/>
  <c r="H59" i="19" s="1"/>
  <c r="E60" i="19" s="1"/>
  <c r="H60" i="19" s="1"/>
  <c r="E61" i="19" s="1"/>
  <c r="H61" i="19" s="1"/>
  <c r="E62" i="19" s="1"/>
  <c r="H62" i="19" s="1"/>
  <c r="E63" i="19" s="1"/>
  <c r="H63" i="19" s="1"/>
  <c r="E64" i="19" s="1"/>
  <c r="H64" i="19" s="1"/>
  <c r="G29" i="24"/>
  <c r="Q29" i="27"/>
  <c r="Q30" i="27" s="1"/>
  <c r="Q31" i="27" s="1"/>
  <c r="Q32" i="27" s="1"/>
  <c r="Q33" i="27" s="1"/>
  <c r="Q34" i="27" s="1"/>
  <c r="Q35" i="27" s="1"/>
  <c r="Q36" i="27" s="1"/>
  <c r="Q37" i="27" s="1"/>
  <c r="Q38" i="27" s="1"/>
  <c r="Q39" i="27" s="1"/>
  <c r="Q40" i="27" s="1"/>
  <c r="Q41" i="27" s="1"/>
  <c r="Q42" i="27" s="1"/>
  <c r="Q43" i="27" s="1"/>
  <c r="Q44" i="27" s="1"/>
  <c r="Q45" i="27" s="1"/>
  <c r="Q46" i="27" s="1"/>
  <c r="Q47" i="27" s="1"/>
  <c r="Q48" i="27" s="1"/>
  <c r="Q49" i="27" s="1"/>
  <c r="Q50" i="27" s="1"/>
  <c r="Q51" i="27" s="1"/>
  <c r="Q52" i="27" s="1"/>
  <c r="Q53" i="27" s="1"/>
  <c r="Q54" i="27" s="1"/>
  <c r="Q55" i="27" s="1"/>
  <c r="Q56" i="27" s="1"/>
  <c r="Q57" i="27" s="1"/>
  <c r="Q58" i="27" s="1"/>
  <c r="Q59" i="27" s="1"/>
  <c r="Q60" i="27" s="1"/>
  <c r="Q61" i="27" s="1"/>
  <c r="Q62" i="27" s="1"/>
  <c r="Q63" i="27" s="1"/>
  <c r="Q64" i="27" s="1"/>
  <c r="F33" i="4"/>
  <c r="F33" i="14"/>
  <c r="Q29" i="4"/>
  <c r="G29" i="4"/>
  <c r="G29" i="5"/>
  <c r="H29" i="18"/>
  <c r="E30" i="18" s="1"/>
  <c r="H30" i="18" s="1"/>
  <c r="E31" i="18" s="1"/>
  <c r="H31" i="18" s="1"/>
  <c r="E32" i="18" s="1"/>
  <c r="H32" i="18" s="1"/>
  <c r="E33" i="18" s="1"/>
  <c r="H33" i="18" s="1"/>
  <c r="E34" i="18" s="1"/>
  <c r="H34" i="18" s="1"/>
  <c r="E35" i="18" s="1"/>
  <c r="H35" i="18" s="1"/>
  <c r="E36" i="18" s="1"/>
  <c r="H36" i="18" s="1"/>
  <c r="E37" i="18" s="1"/>
  <c r="H37" i="18" s="1"/>
  <c r="E38" i="18" s="1"/>
  <c r="H38" i="18" s="1"/>
  <c r="E39" i="18" s="1"/>
  <c r="H39" i="18" s="1"/>
  <c r="E40" i="18" s="1"/>
  <c r="H40" i="18" s="1"/>
  <c r="E41" i="18" s="1"/>
  <c r="H41" i="18" s="1"/>
  <c r="E42" i="18" s="1"/>
  <c r="H42" i="18" s="1"/>
  <c r="E43" i="18" s="1"/>
  <c r="H43" i="18" s="1"/>
  <c r="E44" i="18" s="1"/>
  <c r="H44" i="18" s="1"/>
  <c r="E45" i="18" s="1"/>
  <c r="H45" i="18" s="1"/>
  <c r="E46" i="18" s="1"/>
  <c r="H46" i="18" s="1"/>
  <c r="E47" i="18" s="1"/>
  <c r="H47" i="18" s="1"/>
  <c r="E48" i="18" s="1"/>
  <c r="H48" i="18" s="1"/>
  <c r="E49" i="18" s="1"/>
  <c r="H49" i="18" s="1"/>
  <c r="E50" i="18" s="1"/>
  <c r="H50" i="18" s="1"/>
  <c r="E51" i="18" s="1"/>
  <c r="H51" i="18" s="1"/>
  <c r="E52" i="18" s="1"/>
  <c r="H52" i="18" s="1"/>
  <c r="E53" i="18" s="1"/>
  <c r="H53" i="18" s="1"/>
  <c r="E54" i="18" s="1"/>
  <c r="H54" i="18" s="1"/>
  <c r="E55" i="18" s="1"/>
  <c r="H55" i="18" s="1"/>
  <c r="E56" i="18" s="1"/>
  <c r="H56" i="18" s="1"/>
  <c r="E57" i="18" s="1"/>
  <c r="H57" i="18" s="1"/>
  <c r="E58" i="18" s="1"/>
  <c r="H58" i="18" s="1"/>
  <c r="E59" i="18" s="1"/>
  <c r="H59" i="18" s="1"/>
  <c r="E60" i="18" s="1"/>
  <c r="H60" i="18" s="1"/>
  <c r="E61" i="18" s="1"/>
  <c r="H61" i="18" s="1"/>
  <c r="E62" i="18" s="1"/>
  <c r="H62" i="18" s="1"/>
  <c r="E63" i="18" s="1"/>
  <c r="H63" i="18" s="1"/>
  <c r="E64" i="18" s="1"/>
  <c r="H64" i="18" s="1"/>
  <c r="H29" i="21"/>
  <c r="E30" i="21" s="1"/>
  <c r="H30" i="21" s="1"/>
  <c r="E31" i="21" s="1"/>
  <c r="H31" i="21" s="1"/>
  <c r="E32" i="21" s="1"/>
  <c r="H32" i="21" s="1"/>
  <c r="E33" i="21" s="1"/>
  <c r="H33" i="21" s="1"/>
  <c r="E34" i="21" s="1"/>
  <c r="H34" i="21" s="1"/>
  <c r="E35" i="21" s="1"/>
  <c r="H35" i="21" s="1"/>
  <c r="E36" i="21" s="1"/>
  <c r="H36" i="21" s="1"/>
  <c r="E37" i="21" s="1"/>
  <c r="H37" i="21" s="1"/>
  <c r="E38" i="21" s="1"/>
  <c r="H38" i="21" s="1"/>
  <c r="E39" i="21" s="1"/>
  <c r="H39" i="21" s="1"/>
  <c r="E40" i="21" s="1"/>
  <c r="H40" i="21" s="1"/>
  <c r="E41" i="21" s="1"/>
  <c r="H41" i="21" s="1"/>
  <c r="E42" i="21" s="1"/>
  <c r="H42" i="21" s="1"/>
  <c r="E43" i="21" s="1"/>
  <c r="H43" i="21" s="1"/>
  <c r="E44" i="21" s="1"/>
  <c r="H44" i="21" s="1"/>
  <c r="E45" i="21" s="1"/>
  <c r="H45" i="21" s="1"/>
  <c r="E46" i="21" s="1"/>
  <c r="H46" i="21" s="1"/>
  <c r="E47" i="21" s="1"/>
  <c r="H47" i="21" s="1"/>
  <c r="E48" i="21" s="1"/>
  <c r="H48" i="21" s="1"/>
  <c r="E49" i="21" s="1"/>
  <c r="H49" i="21" s="1"/>
  <c r="E50" i="21" s="1"/>
  <c r="H50" i="21" s="1"/>
  <c r="E51" i="21" s="1"/>
  <c r="H51" i="21" s="1"/>
  <c r="E52" i="21" s="1"/>
  <c r="H52" i="21" s="1"/>
  <c r="E53" i="21" s="1"/>
  <c r="H53" i="21" s="1"/>
  <c r="E54" i="21" s="1"/>
  <c r="H54" i="21" s="1"/>
  <c r="E55" i="21" s="1"/>
  <c r="H55" i="21" s="1"/>
  <c r="E56" i="21" s="1"/>
  <c r="H56" i="21" s="1"/>
  <c r="E57" i="21" s="1"/>
  <c r="H57" i="21" s="1"/>
  <c r="E58" i="21" s="1"/>
  <c r="H58" i="21" s="1"/>
  <c r="E59" i="21" s="1"/>
  <c r="H59" i="21" s="1"/>
  <c r="E60" i="21" s="1"/>
  <c r="H60" i="21" s="1"/>
  <c r="E61" i="21" s="1"/>
  <c r="H61" i="21" s="1"/>
  <c r="E62" i="21" s="1"/>
  <c r="H62" i="21" s="1"/>
  <c r="E63" i="21" s="1"/>
  <c r="H63" i="21" s="1"/>
  <c r="E64" i="21" s="1"/>
  <c r="H64" i="21" s="1"/>
  <c r="H35" i="26"/>
  <c r="E36" i="26" s="1"/>
  <c r="H36" i="26" s="1"/>
  <c r="E37" i="26" s="1"/>
  <c r="H37" i="26" s="1"/>
  <c r="E38" i="26" s="1"/>
  <c r="H38" i="26" s="1"/>
  <c r="E39" i="26" s="1"/>
  <c r="H39" i="26" s="1"/>
  <c r="E40" i="26" s="1"/>
  <c r="H40" i="26" s="1"/>
  <c r="E41" i="26" s="1"/>
  <c r="H41" i="26" s="1"/>
  <c r="E42" i="26" s="1"/>
  <c r="H42" i="26" s="1"/>
  <c r="E43" i="26" s="1"/>
  <c r="H43" i="26" s="1"/>
  <c r="E44" i="26" s="1"/>
  <c r="H44" i="26" s="1"/>
  <c r="E45" i="26" s="1"/>
  <c r="H45" i="26" s="1"/>
  <c r="E46" i="26" s="1"/>
  <c r="H46" i="26" s="1"/>
  <c r="E47" i="26" s="1"/>
  <c r="H47" i="26" s="1"/>
  <c r="E48" i="26" s="1"/>
  <c r="H48" i="26" s="1"/>
  <c r="E49" i="26" s="1"/>
  <c r="H49" i="26" s="1"/>
  <c r="E50" i="26" s="1"/>
  <c r="H50" i="26" s="1"/>
  <c r="E51" i="26" s="1"/>
  <c r="H51" i="26" s="1"/>
  <c r="E52" i="26" s="1"/>
  <c r="H52" i="26" s="1"/>
  <c r="E53" i="26" s="1"/>
  <c r="H53" i="26" s="1"/>
  <c r="E54" i="26" s="1"/>
  <c r="H54" i="26" s="1"/>
  <c r="E55" i="26" s="1"/>
  <c r="H55" i="26" s="1"/>
  <c r="E56" i="26" s="1"/>
  <c r="H56" i="26" s="1"/>
  <c r="E57" i="26" s="1"/>
  <c r="H57" i="26" s="1"/>
  <c r="E58" i="26" s="1"/>
  <c r="H58" i="26" s="1"/>
  <c r="E59" i="26" s="1"/>
  <c r="H59" i="26" s="1"/>
  <c r="E60" i="26" s="1"/>
  <c r="H60" i="26" s="1"/>
  <c r="E61" i="26" s="1"/>
  <c r="H61" i="26" s="1"/>
  <c r="E62" i="26" s="1"/>
  <c r="H62" i="26" s="1"/>
  <c r="E63" i="26" s="1"/>
  <c r="H63" i="26" s="1"/>
  <c r="E64" i="26" s="1"/>
  <c r="H64" i="26" s="1"/>
  <c r="F116" i="27"/>
  <c r="F33" i="27"/>
  <c r="O33" i="27" s="1"/>
  <c r="O32" i="4"/>
  <c r="O33" i="4" s="1"/>
  <c r="O33" i="24"/>
  <c r="Q29" i="5"/>
  <c r="F116" i="24"/>
  <c r="Q29" i="24"/>
  <c r="Q30" i="24" s="1"/>
  <c r="Q31" i="24" s="1"/>
  <c r="Q32" i="24" s="1"/>
  <c r="Q33" i="24" s="1"/>
  <c r="Q34" i="24" s="1"/>
  <c r="Q35" i="24" s="1"/>
  <c r="Q36" i="24" s="1"/>
  <c r="Q37" i="24" s="1"/>
  <c r="Q38" i="24" s="1"/>
  <c r="Q39" i="24" s="1"/>
  <c r="Q40" i="24" s="1"/>
  <c r="Q41" i="24" s="1"/>
  <c r="Q42" i="24" s="1"/>
  <c r="Q43" i="24" s="1"/>
  <c r="Q44" i="24" s="1"/>
  <c r="Q45" i="24" s="1"/>
  <c r="Q46" i="24" s="1"/>
  <c r="Q47" i="24" s="1"/>
  <c r="Q48" i="24" s="1"/>
  <c r="Q49" i="24" s="1"/>
  <c r="Q50" i="24" s="1"/>
  <c r="Q51" i="24" s="1"/>
  <c r="Q52" i="24" s="1"/>
  <c r="Q53" i="24" s="1"/>
  <c r="Q54" i="24" s="1"/>
  <c r="Q55" i="24" s="1"/>
  <c r="Q56" i="24" s="1"/>
  <c r="Q57" i="24" s="1"/>
  <c r="Q58" i="24" s="1"/>
  <c r="Q59" i="24" s="1"/>
  <c r="Q60" i="24" s="1"/>
  <c r="Q61" i="24" s="1"/>
  <c r="Q62" i="24" s="1"/>
  <c r="Q63" i="24" s="1"/>
  <c r="Q64" i="24" s="1"/>
  <c r="H29" i="28"/>
  <c r="E30" i="28" s="1"/>
  <c r="H30" i="28" s="1"/>
  <c r="E31" i="28" s="1"/>
  <c r="H31" i="28" s="1"/>
  <c r="E32" i="28" s="1"/>
  <c r="H32" i="28" s="1"/>
  <c r="E33" i="28" s="1"/>
  <c r="H33" i="28" s="1"/>
  <c r="E34" i="28" s="1"/>
  <c r="H34" i="28" s="1"/>
  <c r="E35" i="28" s="1"/>
  <c r="H35" i="28" s="1"/>
  <c r="E36" i="28" s="1"/>
  <c r="H36" i="28" s="1"/>
  <c r="E37" i="28" s="1"/>
  <c r="H37" i="28" s="1"/>
  <c r="E38" i="28" s="1"/>
  <c r="H38" i="28" s="1"/>
  <c r="E39" i="28" s="1"/>
  <c r="H39" i="28" s="1"/>
  <c r="E40" i="28" s="1"/>
  <c r="H40" i="28" s="1"/>
  <c r="E41" i="28" s="1"/>
  <c r="H41" i="28" s="1"/>
  <c r="E42" i="28" s="1"/>
  <c r="H42" i="28" s="1"/>
  <c r="E43" i="28" s="1"/>
  <c r="H43" i="28" s="1"/>
  <c r="E44" i="28" s="1"/>
  <c r="H44" i="28" s="1"/>
  <c r="E45" i="28" s="1"/>
  <c r="H45" i="28" s="1"/>
  <c r="E46" i="28" s="1"/>
  <c r="H46" i="28" s="1"/>
  <c r="E47" i="28" s="1"/>
  <c r="H47" i="28" s="1"/>
  <c r="E48" i="28" s="1"/>
  <c r="H48" i="28" s="1"/>
  <c r="E49" i="28" s="1"/>
  <c r="H49" i="28" s="1"/>
  <c r="E50" i="28" s="1"/>
  <c r="H50" i="28" s="1"/>
  <c r="E51" i="28" s="1"/>
  <c r="H51" i="28" s="1"/>
  <c r="E52" i="28" s="1"/>
  <c r="H52" i="28" s="1"/>
  <c r="E53" i="28" s="1"/>
  <c r="H53" i="28" s="1"/>
  <c r="E54" i="28" s="1"/>
  <c r="H54" i="28" s="1"/>
  <c r="E55" i="28" s="1"/>
  <c r="H55" i="28" s="1"/>
  <c r="E56" i="28" s="1"/>
  <c r="H56" i="28" s="1"/>
  <c r="E57" i="28" s="1"/>
  <c r="H57" i="28" s="1"/>
  <c r="E58" i="28" s="1"/>
  <c r="H58" i="28" s="1"/>
  <c r="E59" i="28" s="1"/>
  <c r="H59" i="28" s="1"/>
  <c r="E60" i="28" s="1"/>
  <c r="H60" i="28" s="1"/>
  <c r="E61" i="28" s="1"/>
  <c r="H61" i="28" s="1"/>
  <c r="E62" i="28" s="1"/>
  <c r="H62" i="28" s="1"/>
  <c r="E63" i="28" s="1"/>
  <c r="H63" i="28" s="1"/>
  <c r="E64" i="28" s="1"/>
  <c r="H64" i="28" s="1"/>
  <c r="F46" i="11"/>
  <c r="O33" i="14"/>
  <c r="F5" i="33"/>
  <c r="K5" i="33"/>
  <c r="F116" i="8"/>
  <c r="H29" i="8"/>
  <c r="E30" i="8" s="1"/>
  <c r="Q29" i="8"/>
  <c r="Q30" i="8" s="1"/>
  <c r="Q31" i="8" s="1"/>
  <c r="Q32" i="8" s="1"/>
  <c r="Q33" i="8" s="1"/>
  <c r="Q34" i="8" s="1"/>
  <c r="Q35" i="8" s="1"/>
  <c r="Q36" i="8" s="1"/>
  <c r="Q37" i="8" s="1"/>
  <c r="Q38" i="8" s="1"/>
  <c r="Q39" i="8" s="1"/>
  <c r="Q40" i="8" s="1"/>
  <c r="H22" i="28"/>
  <c r="E110" i="28" s="1"/>
  <c r="F63" i="29"/>
  <c r="A64" i="29"/>
  <c r="B63" i="29"/>
  <c r="G63" i="29" s="1"/>
  <c r="O48" i="29"/>
  <c r="G48" i="29"/>
  <c r="F49" i="29"/>
  <c r="A50" i="29"/>
  <c r="B49" i="29"/>
  <c r="G49" i="29" s="1"/>
  <c r="D36" i="29"/>
  <c r="J35" i="29"/>
  <c r="D37" i="28"/>
  <c r="J36" i="28"/>
  <c r="E29" i="22"/>
  <c r="E29" i="20"/>
  <c r="M29" i="27"/>
  <c r="K30" i="27" s="1"/>
  <c r="M30" i="27" s="1"/>
  <c r="D37" i="27"/>
  <c r="J36" i="27"/>
  <c r="P29" i="27"/>
  <c r="H29" i="27"/>
  <c r="E30" i="27" s="1"/>
  <c r="M29" i="24"/>
  <c r="K30" i="24" s="1"/>
  <c r="M30" i="24" s="1"/>
  <c r="H22" i="26"/>
  <c r="M22" i="26" s="1"/>
  <c r="J34" i="26"/>
  <c r="D35" i="26"/>
  <c r="D36" i="24"/>
  <c r="J35" i="24"/>
  <c r="P29" i="24"/>
  <c r="H29" i="24"/>
  <c r="E30" i="24" s="1"/>
  <c r="E29" i="23"/>
  <c r="H22" i="23"/>
  <c r="D37" i="23"/>
  <c r="J36" i="23"/>
  <c r="G110" i="23"/>
  <c r="P29" i="23"/>
  <c r="P30" i="23" s="1"/>
  <c r="P31" i="23" s="1"/>
  <c r="P32" i="23" s="1"/>
  <c r="P33" i="23" s="1"/>
  <c r="P34" i="23" s="1"/>
  <c r="P35" i="23" s="1"/>
  <c r="P36" i="23" s="1"/>
  <c r="P37" i="23" s="1"/>
  <c r="P38" i="23" s="1"/>
  <c r="P39" i="23" s="1"/>
  <c r="P40" i="23" s="1"/>
  <c r="P41" i="23" s="1"/>
  <c r="P42" i="23" s="1"/>
  <c r="P43" i="23" s="1"/>
  <c r="P44" i="23" s="1"/>
  <c r="P45" i="23" s="1"/>
  <c r="P46" i="23" s="1"/>
  <c r="P47" i="23" s="1"/>
  <c r="P48" i="23" s="1"/>
  <c r="P49" i="23" s="1"/>
  <c r="P50" i="23" s="1"/>
  <c r="P51" i="23" s="1"/>
  <c r="P52" i="23" s="1"/>
  <c r="P53" i="23" s="1"/>
  <c r="P54" i="23" s="1"/>
  <c r="P55" i="23" s="1"/>
  <c r="P56" i="23" s="1"/>
  <c r="P57" i="23" s="1"/>
  <c r="P58" i="23" s="1"/>
  <c r="P59" i="23" s="1"/>
  <c r="P60" i="23" s="1"/>
  <c r="P61" i="23" s="1"/>
  <c r="P62" i="23" s="1"/>
  <c r="P63" i="23" s="1"/>
  <c r="P64" i="23" s="1"/>
  <c r="H22" i="21"/>
  <c r="E110" i="21" s="1"/>
  <c r="H22" i="19"/>
  <c r="M22" i="19" s="1"/>
  <c r="L46" i="11"/>
  <c r="D35" i="22"/>
  <c r="J34" i="22"/>
  <c r="E110" i="22"/>
  <c r="M22" i="22"/>
  <c r="L49" i="11"/>
  <c r="D36" i="21"/>
  <c r="J35" i="21"/>
  <c r="E110" i="20"/>
  <c r="M22" i="20"/>
  <c r="J34" i="20"/>
  <c r="D35" i="20"/>
  <c r="D36" i="19"/>
  <c r="J35" i="19"/>
  <c r="H22" i="15"/>
  <c r="M22" i="15" s="1"/>
  <c r="L57" i="15" s="1"/>
  <c r="E110" i="18"/>
  <c r="M22" i="18"/>
  <c r="D37" i="18"/>
  <c r="J36" i="18"/>
  <c r="M29" i="14"/>
  <c r="K30" i="14" s="1"/>
  <c r="M30" i="14" s="1"/>
  <c r="K31" i="14" s="1"/>
  <c r="M31" i="14" s="1"/>
  <c r="K32" i="14" s="1"/>
  <c r="M32" i="14" s="1"/>
  <c r="K33" i="14" s="1"/>
  <c r="M33" i="14" s="1"/>
  <c r="K34" i="14" s="1"/>
  <c r="M34" i="14" s="1"/>
  <c r="K35" i="14" s="1"/>
  <c r="M35" i="14" s="1"/>
  <c r="K36" i="14" s="1"/>
  <c r="M36" i="14" s="1"/>
  <c r="K37" i="14" s="1"/>
  <c r="M37" i="14" s="1"/>
  <c r="K38" i="14" s="1"/>
  <c r="M38" i="14" s="1"/>
  <c r="K39" i="14" s="1"/>
  <c r="M39" i="14" s="1"/>
  <c r="K40" i="14" s="1"/>
  <c r="M40" i="14" s="1"/>
  <c r="P29" i="17"/>
  <c r="P30" i="17" s="1"/>
  <c r="P31" i="17" s="1"/>
  <c r="P32" i="17" s="1"/>
  <c r="P33" i="17" s="1"/>
  <c r="P34" i="17" s="1"/>
  <c r="P35" i="17" s="1"/>
  <c r="P36" i="17" s="1"/>
  <c r="P37" i="17" s="1"/>
  <c r="P38" i="17" s="1"/>
  <c r="P39" i="17" s="1"/>
  <c r="P40" i="17" s="1"/>
  <c r="P41" i="17" s="1"/>
  <c r="P42" i="17" s="1"/>
  <c r="P43" i="17" s="1"/>
  <c r="P44" i="17" s="1"/>
  <c r="P45" i="17" s="1"/>
  <c r="P46" i="17" s="1"/>
  <c r="P47" i="17" s="1"/>
  <c r="P48" i="17" s="1"/>
  <c r="P49" i="17" s="1"/>
  <c r="P50" i="17" s="1"/>
  <c r="P51" i="17" s="1"/>
  <c r="P52" i="17" s="1"/>
  <c r="P53" i="17" s="1"/>
  <c r="P54" i="17" s="1"/>
  <c r="P55" i="17" s="1"/>
  <c r="P56" i="17" s="1"/>
  <c r="P57" i="17" s="1"/>
  <c r="P58" i="17" s="1"/>
  <c r="P59" i="17" s="1"/>
  <c r="P60" i="17" s="1"/>
  <c r="P61" i="17" s="1"/>
  <c r="P62" i="17" s="1"/>
  <c r="P63" i="17" s="1"/>
  <c r="P64" i="17" s="1"/>
  <c r="G110" i="17"/>
  <c r="H22" i="17"/>
  <c r="M22" i="17" s="1"/>
  <c r="L35" i="17" s="1"/>
  <c r="E29" i="17"/>
  <c r="H29" i="17" s="1"/>
  <c r="E30" i="17" s="1"/>
  <c r="H30" i="17" s="1"/>
  <c r="E31" i="17" s="1"/>
  <c r="H31" i="17" s="1"/>
  <c r="E32" i="17" s="1"/>
  <c r="H32" i="17" s="1"/>
  <c r="E33" i="17" s="1"/>
  <c r="D36" i="17"/>
  <c r="J35" i="17"/>
  <c r="L35" i="11"/>
  <c r="L36" i="13"/>
  <c r="L54" i="13"/>
  <c r="L45" i="13"/>
  <c r="L46" i="13"/>
  <c r="L29" i="11"/>
  <c r="Q29" i="11" s="1"/>
  <c r="L47" i="13"/>
  <c r="L62" i="13"/>
  <c r="L53" i="13"/>
  <c r="L56" i="13"/>
  <c r="L53" i="11"/>
  <c r="L55" i="13"/>
  <c r="L35" i="13"/>
  <c r="L61" i="13"/>
  <c r="L63" i="13"/>
  <c r="K29" i="13"/>
  <c r="L52" i="13"/>
  <c r="L33" i="13"/>
  <c r="L32" i="13"/>
  <c r="L58" i="13"/>
  <c r="M29" i="16"/>
  <c r="K30" i="16" s="1"/>
  <c r="M30" i="16" s="1"/>
  <c r="K31" i="16" s="1"/>
  <c r="M31" i="16" s="1"/>
  <c r="K32" i="16" s="1"/>
  <c r="M32" i="16" s="1"/>
  <c r="K33" i="16" s="1"/>
  <c r="M33" i="16" s="1"/>
  <c r="K34" i="16" s="1"/>
  <c r="M34" i="16" s="1"/>
  <c r="K35" i="16" s="1"/>
  <c r="M35" i="16" s="1"/>
  <c r="K36" i="16" s="1"/>
  <c r="M36" i="16" s="1"/>
  <c r="K37" i="16" s="1"/>
  <c r="M37" i="16" s="1"/>
  <c r="K38" i="16" s="1"/>
  <c r="M38" i="16" s="1"/>
  <c r="K39" i="16" s="1"/>
  <c r="M39" i="16" s="1"/>
  <c r="K40" i="16" s="1"/>
  <c r="M40" i="16" s="1"/>
  <c r="K41" i="16" s="1"/>
  <c r="M41" i="16" s="1"/>
  <c r="K42" i="16" s="1"/>
  <c r="M42" i="16" s="1"/>
  <c r="K43" i="16" s="1"/>
  <c r="M43" i="16" s="1"/>
  <c r="K44" i="16" s="1"/>
  <c r="M44" i="16" s="1"/>
  <c r="K45" i="16" s="1"/>
  <c r="M45" i="16" s="1"/>
  <c r="K46" i="16" s="1"/>
  <c r="M46" i="16" s="1"/>
  <c r="K47" i="16" s="1"/>
  <c r="M47" i="16" s="1"/>
  <c r="K48" i="16" s="1"/>
  <c r="M48" i="16" s="1"/>
  <c r="K49" i="16" s="1"/>
  <c r="M49" i="16" s="1"/>
  <c r="K50" i="16" s="1"/>
  <c r="M50" i="16" s="1"/>
  <c r="K51" i="16" s="1"/>
  <c r="M51" i="16" s="1"/>
  <c r="K52" i="16" s="1"/>
  <c r="M52" i="16" s="1"/>
  <c r="K53" i="16" s="1"/>
  <c r="M53" i="16" s="1"/>
  <c r="K54" i="16" s="1"/>
  <c r="M54" i="16" s="1"/>
  <c r="K55" i="16" s="1"/>
  <c r="M55" i="16" s="1"/>
  <c r="K56" i="16" s="1"/>
  <c r="M56" i="16" s="1"/>
  <c r="K57" i="16" s="1"/>
  <c r="M57" i="16" s="1"/>
  <c r="K58" i="16" s="1"/>
  <c r="M58" i="16" s="1"/>
  <c r="K59" i="16" s="1"/>
  <c r="M59" i="16" s="1"/>
  <c r="K60" i="16" s="1"/>
  <c r="M60" i="16" s="1"/>
  <c r="K61" i="16" s="1"/>
  <c r="M61" i="16" s="1"/>
  <c r="K62" i="16" s="1"/>
  <c r="M62" i="16" s="1"/>
  <c r="K63" i="16" s="1"/>
  <c r="M63" i="16" s="1"/>
  <c r="K64" i="16" s="1"/>
  <c r="M64" i="16" s="1"/>
  <c r="L31" i="11"/>
  <c r="L41" i="13"/>
  <c r="L40" i="13"/>
  <c r="L38" i="13"/>
  <c r="L48" i="13"/>
  <c r="J35" i="16"/>
  <c r="D36" i="16"/>
  <c r="Q30" i="16"/>
  <c r="Q31" i="16" s="1"/>
  <c r="Q32" i="16" s="1"/>
  <c r="Q33" i="16" s="1"/>
  <c r="Q34" i="16" s="1"/>
  <c r="Q35" i="16" s="1"/>
  <c r="Q36" i="16" s="1"/>
  <c r="Q37" i="16" s="1"/>
  <c r="Q38" i="16" s="1"/>
  <c r="Q39" i="16" s="1"/>
  <c r="Q40" i="16" s="1"/>
  <c r="Q41" i="16" s="1"/>
  <c r="Q42" i="16" s="1"/>
  <c r="Q43" i="16" s="1"/>
  <c r="Q44" i="16" s="1"/>
  <c r="Q45" i="16" s="1"/>
  <c r="Q46" i="16" s="1"/>
  <c r="Q47" i="16" s="1"/>
  <c r="Q48" i="16" s="1"/>
  <c r="Q49" i="16" s="1"/>
  <c r="Q50" i="16" s="1"/>
  <c r="Q51" i="16" s="1"/>
  <c r="Q52" i="16" s="1"/>
  <c r="Q53" i="16" s="1"/>
  <c r="Q54" i="16" s="1"/>
  <c r="Q55" i="16" s="1"/>
  <c r="Q56" i="16" s="1"/>
  <c r="Q57" i="16" s="1"/>
  <c r="Q58" i="16" s="1"/>
  <c r="Q59" i="16" s="1"/>
  <c r="Q60" i="16" s="1"/>
  <c r="Q61" i="16" s="1"/>
  <c r="Q62" i="16" s="1"/>
  <c r="Q63" i="16" s="1"/>
  <c r="Q64" i="16" s="1"/>
  <c r="L55" i="11"/>
  <c r="L41" i="11"/>
  <c r="L64" i="11"/>
  <c r="L38" i="11"/>
  <c r="L43" i="11"/>
  <c r="L61" i="11"/>
  <c r="L54" i="11"/>
  <c r="L51" i="11"/>
  <c r="L42" i="11"/>
  <c r="L60" i="13"/>
  <c r="L36" i="11"/>
  <c r="L32" i="11"/>
  <c r="L50" i="11"/>
  <c r="L44" i="13"/>
  <c r="L49" i="13"/>
  <c r="L43" i="13"/>
  <c r="L64" i="13"/>
  <c r="L34" i="13"/>
  <c r="L44" i="11"/>
  <c r="L40" i="11"/>
  <c r="L58" i="11"/>
  <c r="L31" i="13"/>
  <c r="L57" i="13"/>
  <c r="L51" i="13"/>
  <c r="L29" i="13"/>
  <c r="Q29" i="13" s="1"/>
  <c r="L42" i="13"/>
  <c r="L47" i="11"/>
  <c r="L52" i="11"/>
  <c r="L56" i="11"/>
  <c r="L39" i="13"/>
  <c r="L30" i="13"/>
  <c r="L59" i="13"/>
  <c r="L37" i="13"/>
  <c r="D36" i="15"/>
  <c r="J35" i="15"/>
  <c r="P29" i="15"/>
  <c r="H29" i="15"/>
  <c r="E30" i="15" s="1"/>
  <c r="Q30" i="14"/>
  <c r="Q31" i="14" s="1"/>
  <c r="Q32" i="14" s="1"/>
  <c r="Q33" i="14" s="1"/>
  <c r="Q34" i="14" s="1"/>
  <c r="Q35" i="14" s="1"/>
  <c r="Q36" i="14" s="1"/>
  <c r="Q37" i="14" s="1"/>
  <c r="Q38" i="14" s="1"/>
  <c r="Q39" i="14" s="1"/>
  <c r="Q40" i="14" s="1"/>
  <c r="Q41" i="14" s="1"/>
  <c r="Q42" i="14" s="1"/>
  <c r="Q43" i="14" s="1"/>
  <c r="Q44" i="14" s="1"/>
  <c r="Q45" i="14" s="1"/>
  <c r="Q46" i="14" s="1"/>
  <c r="Q47" i="14" s="1"/>
  <c r="Q48" i="14" s="1"/>
  <c r="Q49" i="14" s="1"/>
  <c r="Q50" i="14" s="1"/>
  <c r="Q51" i="14" s="1"/>
  <c r="Q52" i="14" s="1"/>
  <c r="P29" i="14"/>
  <c r="D37" i="14"/>
  <c r="J36" i="14"/>
  <c r="L30" i="11"/>
  <c r="L63" i="11"/>
  <c r="L57" i="11"/>
  <c r="L48" i="11"/>
  <c r="L34" i="11"/>
  <c r="L39" i="11"/>
  <c r="L60" i="11"/>
  <c r="L59" i="11"/>
  <c r="L37" i="11"/>
  <c r="L62" i="11"/>
  <c r="L33" i="11"/>
  <c r="K29" i="11"/>
  <c r="D36" i="13"/>
  <c r="J35" i="13"/>
  <c r="P29" i="13"/>
  <c r="H29" i="13"/>
  <c r="E30" i="13" s="1"/>
  <c r="D36" i="12"/>
  <c r="J35" i="12"/>
  <c r="P29" i="12"/>
  <c r="M30" i="12"/>
  <c r="K31" i="12" s="1"/>
  <c r="M31" i="12" s="1"/>
  <c r="K32" i="12" s="1"/>
  <c r="M32" i="12" s="1"/>
  <c r="K33" i="12" s="1"/>
  <c r="M33" i="12" s="1"/>
  <c r="K34" i="12" s="1"/>
  <c r="M34" i="12" s="1"/>
  <c r="K35" i="12" s="1"/>
  <c r="M35" i="12" s="1"/>
  <c r="K36" i="12" s="1"/>
  <c r="M36" i="12" s="1"/>
  <c r="K37" i="12" s="1"/>
  <c r="M37" i="12" s="1"/>
  <c r="K38" i="12" s="1"/>
  <c r="M38" i="12" s="1"/>
  <c r="K39" i="12" s="1"/>
  <c r="M39" i="12" s="1"/>
  <c r="K40" i="12" s="1"/>
  <c r="M40" i="12" s="1"/>
  <c r="K41" i="12" s="1"/>
  <c r="M41" i="12" s="1"/>
  <c r="K42" i="12" s="1"/>
  <c r="Q30" i="12"/>
  <c r="Q31" i="12" s="1"/>
  <c r="Q32" i="12" s="1"/>
  <c r="Q33" i="12" s="1"/>
  <c r="Q34" i="12" s="1"/>
  <c r="Q35" i="12" s="1"/>
  <c r="Q36" i="12" s="1"/>
  <c r="Q37" i="12" s="1"/>
  <c r="Q38" i="12" s="1"/>
  <c r="Q39" i="12" s="1"/>
  <c r="Q40" i="12" s="1"/>
  <c r="Q41" i="12" s="1"/>
  <c r="Q42" i="12" s="1"/>
  <c r="Q43" i="12" s="1"/>
  <c r="Q44" i="12" s="1"/>
  <c r="Q45" i="12" s="1"/>
  <c r="Q46" i="12" s="1"/>
  <c r="Q47" i="12" s="1"/>
  <c r="Q48" i="12" s="1"/>
  <c r="Q49" i="12" s="1"/>
  <c r="Q50" i="12" s="1"/>
  <c r="Q51" i="12" s="1"/>
  <c r="Q52" i="12" s="1"/>
  <c r="Q53" i="12" s="1"/>
  <c r="Q54" i="12" s="1"/>
  <c r="Q55" i="12" s="1"/>
  <c r="Q56" i="12" s="1"/>
  <c r="Q57" i="12" s="1"/>
  <c r="Q58" i="12" s="1"/>
  <c r="Q59" i="12" s="1"/>
  <c r="Q60" i="12" s="1"/>
  <c r="Q61" i="12" s="1"/>
  <c r="Q62" i="12" s="1"/>
  <c r="Q63" i="12" s="1"/>
  <c r="Q64" i="12" s="1"/>
  <c r="H29" i="12"/>
  <c r="E30" i="12" s="1"/>
  <c r="M29" i="10"/>
  <c r="K30" i="10" s="1"/>
  <c r="M30" i="10" s="1"/>
  <c r="K31" i="10" s="1"/>
  <c r="M31" i="10" s="1"/>
  <c r="K32" i="10" s="1"/>
  <c r="M32" i="10" s="1"/>
  <c r="K33" i="10" s="1"/>
  <c r="M33" i="10" s="1"/>
  <c r="K34" i="10" s="1"/>
  <c r="M34" i="10" s="1"/>
  <c r="K35" i="10" s="1"/>
  <c r="M35" i="10" s="1"/>
  <c r="K36" i="10" s="1"/>
  <c r="M36" i="10" s="1"/>
  <c r="K37" i="10" s="1"/>
  <c r="M37" i="10" s="1"/>
  <c r="K38" i="10" s="1"/>
  <c r="M38" i="10" s="1"/>
  <c r="K39" i="10" s="1"/>
  <c r="M39" i="10" s="1"/>
  <c r="K40" i="10" s="1"/>
  <c r="M40" i="10" s="1"/>
  <c r="K41" i="10" s="1"/>
  <c r="M41" i="10" s="1"/>
  <c r="K42" i="10" s="1"/>
  <c r="M42" i="10" s="1"/>
  <c r="K43" i="10" s="1"/>
  <c r="M43" i="10" s="1"/>
  <c r="K44" i="10" s="1"/>
  <c r="G30" i="11"/>
  <c r="H30" i="11" s="1"/>
  <c r="E31" i="11" s="1"/>
  <c r="D36" i="11"/>
  <c r="J35" i="11"/>
  <c r="P29" i="11"/>
  <c r="M29" i="8"/>
  <c r="K30" i="8" s="1"/>
  <c r="M30" i="8" s="1"/>
  <c r="H29" i="10"/>
  <c r="E30" i="10" s="1"/>
  <c r="G30" i="10" s="1"/>
  <c r="Q30" i="9"/>
  <c r="Q31" i="9" s="1"/>
  <c r="Q32" i="9" s="1"/>
  <c r="Q33" i="9" s="1"/>
  <c r="Q34" i="9" s="1"/>
  <c r="Q35" i="9" s="1"/>
  <c r="Q36" i="9" s="1"/>
  <c r="Q37" i="9" s="1"/>
  <c r="Q38" i="9" s="1"/>
  <c r="Q39" i="9" s="1"/>
  <c r="Q40" i="9" s="1"/>
  <c r="Q41" i="9" s="1"/>
  <c r="Q42" i="9" s="1"/>
  <c r="Q43" i="9" s="1"/>
  <c r="Q44" i="9" s="1"/>
  <c r="Q45" i="9" s="1"/>
  <c r="Q46" i="9" s="1"/>
  <c r="Q47" i="9" s="1"/>
  <c r="Q48" i="9" s="1"/>
  <c r="Q49" i="9" s="1"/>
  <c r="Q50" i="9" s="1"/>
  <c r="Q51" i="9" s="1"/>
  <c r="Q52" i="9" s="1"/>
  <c r="Q53" i="9" s="1"/>
  <c r="Q54" i="9" s="1"/>
  <c r="Q55" i="9" s="1"/>
  <c r="Q56" i="9" s="1"/>
  <c r="Q57" i="9" s="1"/>
  <c r="Q58" i="9" s="1"/>
  <c r="Q59" i="9" s="1"/>
  <c r="Q60" i="9" s="1"/>
  <c r="Q61" i="9" s="1"/>
  <c r="Q62" i="9" s="1"/>
  <c r="Q63" i="9" s="1"/>
  <c r="Q64" i="9" s="1"/>
  <c r="Q65" i="9" s="1"/>
  <c r="Q66" i="9" s="1"/>
  <c r="Q67" i="9" s="1"/>
  <c r="D35" i="10"/>
  <c r="J34" i="10"/>
  <c r="P29" i="10"/>
  <c r="Q30" i="10"/>
  <c r="Q31" i="10" s="1"/>
  <c r="Q32" i="10" s="1"/>
  <c r="Q33" i="10" s="1"/>
  <c r="Q34" i="10" s="1"/>
  <c r="Q35" i="10" s="1"/>
  <c r="Q36" i="10" s="1"/>
  <c r="Q37" i="10" s="1"/>
  <c r="Q38" i="10" s="1"/>
  <c r="Q39" i="10" s="1"/>
  <c r="Q40" i="10" s="1"/>
  <c r="Q41" i="10" s="1"/>
  <c r="Q42" i="10" s="1"/>
  <c r="Q43" i="10" s="1"/>
  <c r="Q44" i="10" s="1"/>
  <c r="Q45" i="10" s="1"/>
  <c r="Q46" i="10" s="1"/>
  <c r="Q47" i="10" s="1"/>
  <c r="Q48" i="10" s="1"/>
  <c r="Q49" i="10" s="1"/>
  <c r="Q50" i="10" s="1"/>
  <c r="Q51" i="10" s="1"/>
  <c r="Q52" i="10" s="1"/>
  <c r="Q53" i="10" s="1"/>
  <c r="Q54" i="10" s="1"/>
  <c r="Q55" i="10" s="1"/>
  <c r="Q56" i="10" s="1"/>
  <c r="Q57" i="10" s="1"/>
  <c r="Q58" i="10" s="1"/>
  <c r="Q59" i="10" s="1"/>
  <c r="Q60" i="10" s="1"/>
  <c r="Q61" i="10" s="1"/>
  <c r="Q62" i="10" s="1"/>
  <c r="Q63" i="10" s="1"/>
  <c r="Q64" i="10" s="1"/>
  <c r="M29" i="9"/>
  <c r="K30" i="9" s="1"/>
  <c r="M30" i="9" s="1"/>
  <c r="K31" i="9" s="1"/>
  <c r="M31" i="9" s="1"/>
  <c r="K32" i="9" s="1"/>
  <c r="M32" i="9" s="1"/>
  <c r="K33" i="9" s="1"/>
  <c r="M33" i="9" s="1"/>
  <c r="K34" i="9" s="1"/>
  <c r="M34" i="9" s="1"/>
  <c r="K35" i="9" s="1"/>
  <c r="M35" i="9" s="1"/>
  <c r="K36" i="9" s="1"/>
  <c r="M36" i="9" s="1"/>
  <c r="K37" i="9" s="1"/>
  <c r="M37" i="9" s="1"/>
  <c r="K38" i="9" s="1"/>
  <c r="M38" i="9" s="1"/>
  <c r="K39" i="9" s="1"/>
  <c r="M39" i="9" s="1"/>
  <c r="K40" i="9" s="1"/>
  <c r="M40" i="9" s="1"/>
  <c r="K41" i="9" s="1"/>
  <c r="M41" i="9" s="1"/>
  <c r="K42" i="9" s="1"/>
  <c r="M42" i="9" s="1"/>
  <c r="K43" i="9" s="1"/>
  <c r="M43" i="9" s="1"/>
  <c r="K44" i="9" s="1"/>
  <c r="M44" i="9" s="1"/>
  <c r="K45" i="9" s="1"/>
  <c r="M45" i="9" s="1"/>
  <c r="K46" i="9" s="1"/>
  <c r="M46" i="9" s="1"/>
  <c r="K47" i="9" s="1"/>
  <c r="M47" i="9" s="1"/>
  <c r="K48" i="9" s="1"/>
  <c r="P29" i="9"/>
  <c r="H29" i="9"/>
  <c r="E30" i="9" s="1"/>
  <c r="D36" i="9"/>
  <c r="J35" i="9"/>
  <c r="G30" i="8"/>
  <c r="D37" i="8"/>
  <c r="J36" i="8"/>
  <c r="P29" i="8"/>
  <c r="Q30" i="6"/>
  <c r="Q31" i="6" s="1"/>
  <c r="Q32" i="6" s="1"/>
  <c r="Q33" i="6" s="1"/>
  <c r="Q34" i="6" s="1"/>
  <c r="Q35" i="6" s="1"/>
  <c r="Q36" i="6" s="1"/>
  <c r="Q37" i="6" s="1"/>
  <c r="Q38" i="6" s="1"/>
  <c r="Q39" i="6" s="1"/>
  <c r="Q40" i="6" s="1"/>
  <c r="Q41" i="6" s="1"/>
  <c r="Q42" i="6" s="1"/>
  <c r="Q43" i="6" s="1"/>
  <c r="Q44" i="6" s="1"/>
  <c r="Q45" i="6" s="1"/>
  <c r="Q46" i="6" s="1"/>
  <c r="Q47" i="6" s="1"/>
  <c r="Q48" i="6" s="1"/>
  <c r="Q49" i="6" s="1"/>
  <c r="Q50" i="6" s="1"/>
  <c r="Q51" i="6" s="1"/>
  <c r="Q52" i="6" s="1"/>
  <c r="Q53" i="6" s="1"/>
  <c r="Q54" i="6" s="1"/>
  <c r="Q55" i="6" s="1"/>
  <c r="Q56" i="6" s="1"/>
  <c r="Q57" i="6" s="1"/>
  <c r="Q58" i="6" s="1"/>
  <c r="Q59" i="6" s="1"/>
  <c r="Q60" i="6" s="1"/>
  <c r="Q61" i="6" s="1"/>
  <c r="Q62" i="6" s="1"/>
  <c r="Q63" i="6" s="1"/>
  <c r="Q64" i="6" s="1"/>
  <c r="Q30" i="7"/>
  <c r="Q31" i="7" s="1"/>
  <c r="Q32" i="7" s="1"/>
  <c r="Q33" i="7" s="1"/>
  <c r="Q34" i="7" s="1"/>
  <c r="Q35" i="7" s="1"/>
  <c r="Q36" i="7" s="1"/>
  <c r="Q37" i="7" s="1"/>
  <c r="Q38" i="7" s="1"/>
  <c r="Q39" i="7" s="1"/>
  <c r="Q40" i="7" s="1"/>
  <c r="Q41" i="7" s="1"/>
  <c r="Q42" i="7" s="1"/>
  <c r="Q43" i="7" s="1"/>
  <c r="Q44" i="7" s="1"/>
  <c r="Q45" i="7" s="1"/>
  <c r="Q46" i="7" s="1"/>
  <c r="Q47" i="7" s="1"/>
  <c r="Q48" i="7" s="1"/>
  <c r="Q49" i="7" s="1"/>
  <c r="Q50" i="7" s="1"/>
  <c r="Q51" i="7" s="1"/>
  <c r="Q52" i="7" s="1"/>
  <c r="Q53" i="7" s="1"/>
  <c r="Q54" i="7" s="1"/>
  <c r="Q55" i="7" s="1"/>
  <c r="Q56" i="7" s="1"/>
  <c r="Q57" i="7" s="1"/>
  <c r="Q58" i="7" s="1"/>
  <c r="Q59" i="7" s="1"/>
  <c r="Q60" i="7" s="1"/>
  <c r="Q61" i="7" s="1"/>
  <c r="Q62" i="7" s="1"/>
  <c r="Q63" i="7" s="1"/>
  <c r="Q64" i="7" s="1"/>
  <c r="P29" i="7"/>
  <c r="H29" i="7"/>
  <c r="E30" i="7" s="1"/>
  <c r="M29" i="7"/>
  <c r="K30" i="7" s="1"/>
  <c r="M30" i="7" s="1"/>
  <c r="K31" i="7" s="1"/>
  <c r="M31" i="7" s="1"/>
  <c r="K32" i="7" s="1"/>
  <c r="M32" i="7" s="1"/>
  <c r="K33" i="7" s="1"/>
  <c r="M33" i="7" s="1"/>
  <c r="K34" i="7" s="1"/>
  <c r="M34" i="7" s="1"/>
  <c r="K35" i="7" s="1"/>
  <c r="M35" i="7" s="1"/>
  <c r="K36" i="7" s="1"/>
  <c r="M36" i="7" s="1"/>
  <c r="K37" i="7" s="1"/>
  <c r="M37" i="7" s="1"/>
  <c r="K38" i="7" s="1"/>
  <c r="M38" i="7" s="1"/>
  <c r="K39" i="7" s="1"/>
  <c r="M39" i="7" s="1"/>
  <c r="K40" i="7" s="1"/>
  <c r="M40" i="7" s="1"/>
  <c r="K41" i="7" s="1"/>
  <c r="M41" i="7" s="1"/>
  <c r="K42" i="7" s="1"/>
  <c r="M42" i="7" s="1"/>
  <c r="K43" i="7" s="1"/>
  <c r="M43" i="7" s="1"/>
  <c r="K44" i="7" s="1"/>
  <c r="M44" i="7" s="1"/>
  <c r="K45" i="7" s="1"/>
  <c r="M45" i="7" s="1"/>
  <c r="K46" i="7" s="1"/>
  <c r="D36" i="7"/>
  <c r="J35" i="7"/>
  <c r="G30" i="6"/>
  <c r="H30" i="6" s="1"/>
  <c r="E31" i="6" s="1"/>
  <c r="P29" i="6"/>
  <c r="M29" i="6"/>
  <c r="K30" i="6" s="1"/>
  <c r="M30" i="6" s="1"/>
  <c r="K31" i="6" s="1"/>
  <c r="M31" i="6" s="1"/>
  <c r="K32" i="6" s="1"/>
  <c r="M32" i="6" s="1"/>
  <c r="K33" i="6" s="1"/>
  <c r="M33" i="6" s="1"/>
  <c r="K34" i="6" s="1"/>
  <c r="M34" i="6" s="1"/>
  <c r="K35" i="6" s="1"/>
  <c r="M35" i="6" s="1"/>
  <c r="K36" i="6" s="1"/>
  <c r="M36" i="6" s="1"/>
  <c r="K37" i="6" s="1"/>
  <c r="M37" i="6" s="1"/>
  <c r="K38" i="6" s="1"/>
  <c r="M38" i="6" s="1"/>
  <c r="K39" i="6" s="1"/>
  <c r="M39" i="6" s="1"/>
  <c r="K40" i="6" s="1"/>
  <c r="M40" i="6" s="1"/>
  <c r="K41" i="6" s="1"/>
  <c r="M41" i="6" s="1"/>
  <c r="K42" i="6" s="1"/>
  <c r="M42" i="6" s="1"/>
  <c r="K43" i="6" s="1"/>
  <c r="M43" i="6" s="1"/>
  <c r="K44" i="6" s="1"/>
  <c r="M44" i="6" s="1"/>
  <c r="K45" i="6" s="1"/>
  <c r="M45" i="6" s="1"/>
  <c r="K46" i="6" s="1"/>
  <c r="M46" i="6" s="1"/>
  <c r="K47" i="6" s="1"/>
  <c r="M47" i="6" s="1"/>
  <c r="K48" i="6" s="1"/>
  <c r="D36" i="6"/>
  <c r="J35" i="6"/>
  <c r="M29" i="5"/>
  <c r="K30" i="5" s="1"/>
  <c r="M30" i="5" s="1"/>
  <c r="K31" i="5" s="1"/>
  <c r="M31" i="5" s="1"/>
  <c r="K32" i="5" s="1"/>
  <c r="M32" i="5" s="1"/>
  <c r="K33" i="5" s="1"/>
  <c r="M33" i="5" s="1"/>
  <c r="K34" i="5" s="1"/>
  <c r="M34" i="5" s="1"/>
  <c r="K35" i="5" s="1"/>
  <c r="M35" i="5" s="1"/>
  <c r="K36" i="5" s="1"/>
  <c r="M36" i="5" s="1"/>
  <c r="K37" i="5" s="1"/>
  <c r="M37" i="5" s="1"/>
  <c r="K38" i="5" s="1"/>
  <c r="M38" i="5" s="1"/>
  <c r="K39" i="5" s="1"/>
  <c r="M39" i="5" s="1"/>
  <c r="K40" i="5" s="1"/>
  <c r="M40" i="5" s="1"/>
  <c r="G116" i="5" s="1"/>
  <c r="D36" i="5"/>
  <c r="J35" i="5"/>
  <c r="P29" i="5"/>
  <c r="Q30" i="5"/>
  <c r="Q31" i="5" s="1"/>
  <c r="Q32" i="5" s="1"/>
  <c r="Q33" i="5" s="1"/>
  <c r="Q34" i="5" s="1"/>
  <c r="Q35" i="5" s="1"/>
  <c r="Q36" i="5" s="1"/>
  <c r="Q37" i="5" s="1"/>
  <c r="Q38" i="5" s="1"/>
  <c r="Q39" i="5" s="1"/>
  <c r="Q40" i="5" s="1"/>
  <c r="Q30" i="4"/>
  <c r="Q31" i="4" s="1"/>
  <c r="Q32" i="4" s="1"/>
  <c r="Q33" i="4" s="1"/>
  <c r="Q34" i="4" s="1"/>
  <c r="Q35" i="4" s="1"/>
  <c r="Q36" i="4" s="1"/>
  <c r="Q37" i="4" s="1"/>
  <c r="Q38" i="4" s="1"/>
  <c r="Q39" i="4" s="1"/>
  <c r="Q40" i="4" s="1"/>
  <c r="Q41" i="4" s="1"/>
  <c r="Q42" i="4" s="1"/>
  <c r="Q43" i="4" s="1"/>
  <c r="Q44" i="4" s="1"/>
  <c r="Q45" i="4" s="1"/>
  <c r="Q46" i="4" s="1"/>
  <c r="Q47" i="4" s="1"/>
  <c r="Q48" i="4" s="1"/>
  <c r="Q49" i="4" s="1"/>
  <c r="Q50" i="4" s="1"/>
  <c r="Q51" i="4" s="1"/>
  <c r="Q52" i="4" s="1"/>
  <c r="Q53" i="4" s="1"/>
  <c r="Q54" i="4" s="1"/>
  <c r="Q55" i="4" s="1"/>
  <c r="Q56" i="4" s="1"/>
  <c r="Q57" i="4" s="1"/>
  <c r="Q58" i="4" s="1"/>
  <c r="Q59" i="4" s="1"/>
  <c r="Q60" i="4" s="1"/>
  <c r="Q61" i="4" s="1"/>
  <c r="Q62" i="4" s="1"/>
  <c r="Q63" i="4" s="1"/>
  <c r="Q64" i="4" s="1"/>
  <c r="P29" i="4"/>
  <c r="D41" i="4"/>
  <c r="J40" i="4"/>
  <c r="M29" i="4"/>
  <c r="K30" i="4" s="1"/>
  <c r="M30" i="4" s="1"/>
  <c r="K31" i="4" s="1"/>
  <c r="M31" i="4" s="1"/>
  <c r="G21" i="33" a="1"/>
  <c r="G16" i="33" a="1"/>
  <c r="K11" i="33" a="1"/>
  <c r="F10" i="33" a="1"/>
  <c r="F9" i="33" a="1"/>
  <c r="F8" i="33" a="1"/>
  <c r="G19" i="33" a="1"/>
  <c r="G22" i="33" a="1"/>
  <c r="K13" i="33" a="1"/>
  <c r="F12" i="33" a="1"/>
  <c r="F7" i="33" a="1"/>
  <c r="J5" i="33" a="1"/>
  <c r="H5" i="33" a="1"/>
  <c r="F119" i="8"/>
  <c r="F7" i="33" l="1"/>
  <c r="F12" i="33"/>
  <c r="K13" i="33"/>
  <c r="G22" i="33"/>
  <c r="G19" i="33"/>
  <c r="F8" i="33"/>
  <c r="F9" i="33"/>
  <c r="F10" i="33"/>
  <c r="K11" i="33"/>
  <c r="G16" i="33"/>
  <c r="G21" i="33"/>
  <c r="M48" i="6"/>
  <c r="K49" i="6" s="1"/>
  <c r="M49" i="6" s="1"/>
  <c r="K50" i="6" s="1"/>
  <c r="M50" i="6" s="1"/>
  <c r="K51" i="6" s="1"/>
  <c r="M51" i="6" s="1"/>
  <c r="K52" i="6" s="1"/>
  <c r="M52" i="6" s="1"/>
  <c r="K53" i="6" s="1"/>
  <c r="M53" i="6" s="1"/>
  <c r="K54" i="6" s="1"/>
  <c r="M54" i="6" s="1"/>
  <c r="K55" i="6" s="1"/>
  <c r="M55" i="6" s="1"/>
  <c r="K56" i="6" s="1"/>
  <c r="M56" i="6" s="1"/>
  <c r="K57" i="6" s="1"/>
  <c r="M57" i="6" s="1"/>
  <c r="K58" i="6" s="1"/>
  <c r="M58" i="6" s="1"/>
  <c r="K59" i="6" s="1"/>
  <c r="M59" i="6" s="1"/>
  <c r="F116" i="6"/>
  <c r="M42" i="12"/>
  <c r="K43" i="12" s="1"/>
  <c r="M43" i="12" s="1"/>
  <c r="K44" i="12" s="1"/>
  <c r="M44" i="12" s="1"/>
  <c r="K45" i="12" s="1"/>
  <c r="M45" i="12" s="1"/>
  <c r="K46" i="12" s="1"/>
  <c r="M46" i="12" s="1"/>
  <c r="K47" i="12" s="1"/>
  <c r="M47" i="12" s="1"/>
  <c r="K48" i="12" s="1"/>
  <c r="M48" i="12" s="1"/>
  <c r="K49" i="12" s="1"/>
  <c r="M49" i="12" s="1"/>
  <c r="K50" i="12" s="1"/>
  <c r="M50" i="12" s="1"/>
  <c r="K51" i="12" s="1"/>
  <c r="M51" i="12" s="1"/>
  <c r="K52" i="12" s="1"/>
  <c r="M52" i="12" s="1"/>
  <c r="K53" i="12" s="1"/>
  <c r="M53" i="12" s="1"/>
  <c r="F116" i="12"/>
  <c r="H29" i="23"/>
  <c r="E30" i="23" s="1"/>
  <c r="H30" i="23" s="1"/>
  <c r="E31" i="23" s="1"/>
  <c r="H31" i="23" s="1"/>
  <c r="E32" i="23" s="1"/>
  <c r="H32" i="23" s="1"/>
  <c r="E33" i="23" s="1"/>
  <c r="H33" i="23" s="1"/>
  <c r="E34" i="23" s="1"/>
  <c r="H34" i="23" s="1"/>
  <c r="E35" i="23" s="1"/>
  <c r="H35" i="23" s="1"/>
  <c r="E36" i="23" s="1"/>
  <c r="H36" i="23" s="1"/>
  <c r="E37" i="23" s="1"/>
  <c r="H37" i="23" s="1"/>
  <c r="E38" i="23" s="1"/>
  <c r="H38" i="23" s="1"/>
  <c r="E39" i="23" s="1"/>
  <c r="H39" i="23" s="1"/>
  <c r="E40" i="23" s="1"/>
  <c r="H40" i="23" s="1"/>
  <c r="E41" i="23" s="1"/>
  <c r="H41" i="23" s="1"/>
  <c r="E42" i="23" s="1"/>
  <c r="H42" i="23" s="1"/>
  <c r="E43" i="23" s="1"/>
  <c r="H43" i="23" s="1"/>
  <c r="E44" i="23" s="1"/>
  <c r="H44" i="23" s="1"/>
  <c r="E45" i="23" s="1"/>
  <c r="H45" i="23" s="1"/>
  <c r="E46" i="23" s="1"/>
  <c r="H46" i="23" s="1"/>
  <c r="E47" i="23" s="1"/>
  <c r="H47" i="23" s="1"/>
  <c r="E48" i="23" s="1"/>
  <c r="H48" i="23" s="1"/>
  <c r="E49" i="23" s="1"/>
  <c r="H49" i="23" s="1"/>
  <c r="E50" i="23" s="1"/>
  <c r="H50" i="23" s="1"/>
  <c r="E51" i="23" s="1"/>
  <c r="H51" i="23" s="1"/>
  <c r="E52" i="23" s="1"/>
  <c r="H52" i="23" s="1"/>
  <c r="E53" i="23" s="1"/>
  <c r="H53" i="23" s="1"/>
  <c r="E54" i="23" s="1"/>
  <c r="H54" i="23" s="1"/>
  <c r="E55" i="23" s="1"/>
  <c r="H55" i="23" s="1"/>
  <c r="E56" i="23" s="1"/>
  <c r="H56" i="23" s="1"/>
  <c r="E57" i="23" s="1"/>
  <c r="H57" i="23" s="1"/>
  <c r="E58" i="23" s="1"/>
  <c r="H58" i="23" s="1"/>
  <c r="E59" i="23" s="1"/>
  <c r="H59" i="23" s="1"/>
  <c r="E60" i="23" s="1"/>
  <c r="H60" i="23" s="1"/>
  <c r="E61" i="23" s="1"/>
  <c r="H61" i="23" s="1"/>
  <c r="E62" i="23" s="1"/>
  <c r="H62" i="23" s="1"/>
  <c r="E63" i="23" s="1"/>
  <c r="H63" i="23" s="1"/>
  <c r="E64" i="23" s="1"/>
  <c r="H64" i="23" s="1"/>
  <c r="H29" i="20"/>
  <c r="E30" i="20" s="1"/>
  <c r="H30" i="20" s="1"/>
  <c r="E31" i="20" s="1"/>
  <c r="H31" i="20" s="1"/>
  <c r="E32" i="20" s="1"/>
  <c r="H32" i="20" s="1"/>
  <c r="E33" i="20" s="1"/>
  <c r="H33" i="20" s="1"/>
  <c r="E34" i="20" s="1"/>
  <c r="H34" i="20" s="1"/>
  <c r="E35" i="20" s="1"/>
  <c r="H35" i="20" s="1"/>
  <c r="E36" i="20" s="1"/>
  <c r="H36" i="20" s="1"/>
  <c r="E37" i="20" s="1"/>
  <c r="H37" i="20" s="1"/>
  <c r="E38" i="20" s="1"/>
  <c r="H38" i="20" s="1"/>
  <c r="E39" i="20" s="1"/>
  <c r="H39" i="20" s="1"/>
  <c r="E40" i="20" s="1"/>
  <c r="H40" i="20" s="1"/>
  <c r="E41" i="20" s="1"/>
  <c r="H41" i="20" s="1"/>
  <c r="E42" i="20" s="1"/>
  <c r="H42" i="20" s="1"/>
  <c r="E43" i="20" s="1"/>
  <c r="H43" i="20" s="1"/>
  <c r="E44" i="20" s="1"/>
  <c r="H44" i="20" s="1"/>
  <c r="E45" i="20" s="1"/>
  <c r="H45" i="20" s="1"/>
  <c r="E46" i="20" s="1"/>
  <c r="H46" i="20" s="1"/>
  <c r="E47" i="20" s="1"/>
  <c r="H47" i="20" s="1"/>
  <c r="E48" i="20" s="1"/>
  <c r="H48" i="20" s="1"/>
  <c r="E49" i="20" s="1"/>
  <c r="H49" i="20" s="1"/>
  <c r="E50" i="20" s="1"/>
  <c r="H50" i="20" s="1"/>
  <c r="E51" i="20" s="1"/>
  <c r="H51" i="20" s="1"/>
  <c r="E52" i="20" s="1"/>
  <c r="H52" i="20" s="1"/>
  <c r="E53" i="20" s="1"/>
  <c r="H53" i="20" s="1"/>
  <c r="E54" i="20" s="1"/>
  <c r="H54" i="20" s="1"/>
  <c r="E55" i="20" s="1"/>
  <c r="H55" i="20" s="1"/>
  <c r="E56" i="20" s="1"/>
  <c r="H56" i="20" s="1"/>
  <c r="E57" i="20" s="1"/>
  <c r="H57" i="20" s="1"/>
  <c r="E58" i="20" s="1"/>
  <c r="H58" i="20" s="1"/>
  <c r="E59" i="20" s="1"/>
  <c r="H59" i="20" s="1"/>
  <c r="E60" i="20" s="1"/>
  <c r="H60" i="20" s="1"/>
  <c r="E61" i="20" s="1"/>
  <c r="H61" i="20" s="1"/>
  <c r="E62" i="20" s="1"/>
  <c r="H62" i="20" s="1"/>
  <c r="E63" i="20" s="1"/>
  <c r="H63" i="20" s="1"/>
  <c r="E64" i="20" s="1"/>
  <c r="H64" i="20" s="1"/>
  <c r="F34" i="27"/>
  <c r="O34" i="27" s="1"/>
  <c r="F34" i="14"/>
  <c r="O34" i="14" s="1"/>
  <c r="F46" i="12"/>
  <c r="O46" i="11"/>
  <c r="M46" i="7"/>
  <c r="K47" i="7" s="1"/>
  <c r="M47" i="7" s="1"/>
  <c r="K48" i="7" s="1"/>
  <c r="M48" i="7" s="1"/>
  <c r="K49" i="7" s="1"/>
  <c r="M49" i="7" s="1"/>
  <c r="K50" i="7" s="1"/>
  <c r="M50" i="7" s="1"/>
  <c r="K51" i="7" s="1"/>
  <c r="M51" i="7" s="1"/>
  <c r="K52" i="7" s="1"/>
  <c r="M52" i="7" s="1"/>
  <c r="K53" i="7" s="1"/>
  <c r="M53" i="7" s="1"/>
  <c r="K54" i="7" s="1"/>
  <c r="M54" i="7" s="1"/>
  <c r="K55" i="7" s="1"/>
  <c r="M55" i="7" s="1"/>
  <c r="K56" i="7" s="1"/>
  <c r="M56" i="7" s="1"/>
  <c r="K57" i="7" s="1"/>
  <c r="M57" i="7" s="1"/>
  <c r="F116" i="7"/>
  <c r="K32" i="4"/>
  <c r="M32" i="4" s="1"/>
  <c r="K33" i="4" s="1"/>
  <c r="M33" i="4" s="1"/>
  <c r="K34" i="4" s="1"/>
  <c r="M34" i="4" s="1"/>
  <c r="K35" i="4" s="1"/>
  <c r="M35" i="4" s="1"/>
  <c r="K36" i="4" s="1"/>
  <c r="M36" i="4" s="1"/>
  <c r="K37" i="4" s="1"/>
  <c r="M37" i="4" s="1"/>
  <c r="K38" i="4" s="1"/>
  <c r="M38" i="4" s="1"/>
  <c r="K39" i="4" s="1"/>
  <c r="M39" i="4" s="1"/>
  <c r="K40" i="4" s="1"/>
  <c r="M40" i="4" s="1"/>
  <c r="K41" i="4" s="1"/>
  <c r="M41" i="4" s="1"/>
  <c r="K42" i="4" s="1"/>
  <c r="M42" i="4" s="1"/>
  <c r="K43" i="4" s="1"/>
  <c r="M43" i="4" s="1"/>
  <c r="K44" i="4" s="1"/>
  <c r="M44" i="4" s="1"/>
  <c r="K45" i="4" s="1"/>
  <c r="M45" i="4" s="1"/>
  <c r="K46" i="4" s="1"/>
  <c r="M46" i="4" s="1"/>
  <c r="K47" i="4" s="1"/>
  <c r="M47" i="4" s="1"/>
  <c r="K48" i="4" s="1"/>
  <c r="M48" i="4" s="1"/>
  <c r="K49" i="4" s="1"/>
  <c r="M49" i="4" s="1"/>
  <c r="K50" i="4" s="1"/>
  <c r="M50" i="4" s="1"/>
  <c r="K51" i="4" s="1"/>
  <c r="M51" i="4" s="1"/>
  <c r="K52" i="4" s="1"/>
  <c r="M52" i="4" s="1"/>
  <c r="K53" i="4" s="1"/>
  <c r="M53" i="4" s="1"/>
  <c r="K54" i="4" s="1"/>
  <c r="M54" i="4" s="1"/>
  <c r="K55" i="4" s="1"/>
  <c r="M55" i="4" s="1"/>
  <c r="K56" i="4" s="1"/>
  <c r="M56" i="4" s="1"/>
  <c r="K57" i="4" s="1"/>
  <c r="M57" i="4" s="1"/>
  <c r="K58" i="4" s="1"/>
  <c r="M58" i="4" s="1"/>
  <c r="K59" i="4" s="1"/>
  <c r="M59" i="4" s="1"/>
  <c r="K60" i="4" s="1"/>
  <c r="M60" i="4" s="1"/>
  <c r="K61" i="4" s="1"/>
  <c r="M61" i="4" s="1"/>
  <c r="K62" i="4" s="1"/>
  <c r="M62" i="4" s="1"/>
  <c r="K63" i="4" s="1"/>
  <c r="M63" i="4" s="1"/>
  <c r="K64" i="4" s="1"/>
  <c r="M64" i="4" s="1"/>
  <c r="G116" i="4"/>
  <c r="M48" i="9"/>
  <c r="K49" i="9" s="1"/>
  <c r="M49" i="9" s="1"/>
  <c r="K50" i="9" s="1"/>
  <c r="M50" i="9" s="1"/>
  <c r="K51" i="9" s="1"/>
  <c r="M51" i="9" s="1"/>
  <c r="K52" i="9" s="1"/>
  <c r="M52" i="9" s="1"/>
  <c r="K53" i="9" s="1"/>
  <c r="M53" i="9" s="1"/>
  <c r="K54" i="9" s="1"/>
  <c r="M54" i="9" s="1"/>
  <c r="K55" i="9" s="1"/>
  <c r="M55" i="9" s="1"/>
  <c r="K56" i="9" s="1"/>
  <c r="M56" i="9" s="1"/>
  <c r="K57" i="9" s="1"/>
  <c r="M57" i="9" s="1"/>
  <c r="K58" i="9" s="1"/>
  <c r="M58" i="9" s="1"/>
  <c r="K59" i="9" s="1"/>
  <c r="M59" i="9" s="1"/>
  <c r="F116" i="9"/>
  <c r="M44" i="10"/>
  <c r="K45" i="10" s="1"/>
  <c r="M45" i="10" s="1"/>
  <c r="K46" i="10" s="1"/>
  <c r="M46" i="10" s="1"/>
  <c r="K47" i="10" s="1"/>
  <c r="M47" i="10" s="1"/>
  <c r="K48" i="10" s="1"/>
  <c r="M48" i="10" s="1"/>
  <c r="K49" i="10" s="1"/>
  <c r="M49" i="10" s="1"/>
  <c r="K50" i="10" s="1"/>
  <c r="M50" i="10" s="1"/>
  <c r="K51" i="10" s="1"/>
  <c r="M51" i="10" s="1"/>
  <c r="K52" i="10" s="1"/>
  <c r="M52" i="10" s="1"/>
  <c r="K53" i="10" s="1"/>
  <c r="M53" i="10" s="1"/>
  <c r="K54" i="10" s="1"/>
  <c r="M54" i="10" s="1"/>
  <c r="K55" i="10" s="1"/>
  <c r="M55" i="10" s="1"/>
  <c r="F116" i="10"/>
  <c r="H33" i="17"/>
  <c r="E34" i="17" s="1"/>
  <c r="H34" i="17" s="1"/>
  <c r="E35" i="17" s="1"/>
  <c r="H35" i="17" s="1"/>
  <c r="E36" i="17" s="1"/>
  <c r="H36" i="17" s="1"/>
  <c r="E37" i="17" s="1"/>
  <c r="H37" i="17" s="1"/>
  <c r="E38" i="17" s="1"/>
  <c r="H38" i="17" s="1"/>
  <c r="E39" i="17" s="1"/>
  <c r="H39" i="17" s="1"/>
  <c r="E40" i="17" s="1"/>
  <c r="H40" i="17" s="1"/>
  <c r="E41" i="17" s="1"/>
  <c r="H41" i="17" s="1"/>
  <c r="E42" i="17" s="1"/>
  <c r="H42" i="17" s="1"/>
  <c r="E43" i="17" s="1"/>
  <c r="H43" i="17" s="1"/>
  <c r="E44" i="17" s="1"/>
  <c r="H44" i="17" s="1"/>
  <c r="E45" i="17" s="1"/>
  <c r="H45" i="17" s="1"/>
  <c r="E46" i="17" s="1"/>
  <c r="H46" i="17" s="1"/>
  <c r="E47" i="17" s="1"/>
  <c r="H47" i="17" s="1"/>
  <c r="E48" i="17" s="1"/>
  <c r="H48" i="17" s="1"/>
  <c r="E49" i="17" s="1"/>
  <c r="H49" i="17" s="1"/>
  <c r="E50" i="17" s="1"/>
  <c r="H50" i="17" s="1"/>
  <c r="E51" i="17" s="1"/>
  <c r="H51" i="17" s="1"/>
  <c r="E52" i="17" s="1"/>
  <c r="H52" i="17" s="1"/>
  <c r="E53" i="17" s="1"/>
  <c r="H53" i="17" s="1"/>
  <c r="E54" i="17" s="1"/>
  <c r="H54" i="17" s="1"/>
  <c r="E55" i="17" s="1"/>
  <c r="H55" i="17" s="1"/>
  <c r="E56" i="17" s="1"/>
  <c r="H56" i="17" s="1"/>
  <c r="E57" i="17" s="1"/>
  <c r="H57" i="17" s="1"/>
  <c r="E58" i="17" s="1"/>
  <c r="H58" i="17" s="1"/>
  <c r="E59" i="17" s="1"/>
  <c r="H59" i="17" s="1"/>
  <c r="E60" i="17" s="1"/>
  <c r="H60" i="17" s="1"/>
  <c r="E61" i="17" s="1"/>
  <c r="H61" i="17" s="1"/>
  <c r="E62" i="17" s="1"/>
  <c r="H62" i="17" s="1"/>
  <c r="E63" i="17" s="1"/>
  <c r="H63" i="17" s="1"/>
  <c r="E64" i="17" s="1"/>
  <c r="H64" i="17" s="1"/>
  <c r="K41" i="14"/>
  <c r="M41" i="14" s="1"/>
  <c r="K42" i="14" s="1"/>
  <c r="M42" i="14" s="1"/>
  <c r="K43" i="14" s="1"/>
  <c r="M43" i="14" s="1"/>
  <c r="K44" i="14" s="1"/>
  <c r="M44" i="14" s="1"/>
  <c r="K45" i="14" s="1"/>
  <c r="M45" i="14" s="1"/>
  <c r="K46" i="14" s="1"/>
  <c r="M46" i="14" s="1"/>
  <c r="K47" i="14" s="1"/>
  <c r="M47" i="14" s="1"/>
  <c r="K48" i="14" s="1"/>
  <c r="M48" i="14" s="1"/>
  <c r="K49" i="14" s="1"/>
  <c r="M49" i="14" s="1"/>
  <c r="K50" i="14" s="1"/>
  <c r="M50" i="14" s="1"/>
  <c r="K51" i="14" s="1"/>
  <c r="M51" i="14" s="1"/>
  <c r="K52" i="14" s="1"/>
  <c r="M52" i="14" s="1"/>
  <c r="G116" i="14"/>
  <c r="K31" i="24"/>
  <c r="M31" i="24" s="1"/>
  <c r="K32" i="24" s="1"/>
  <c r="M32" i="24" s="1"/>
  <c r="K33" i="24" s="1"/>
  <c r="M33" i="24" s="1"/>
  <c r="K34" i="24" s="1"/>
  <c r="M34" i="24" s="1"/>
  <c r="K35" i="24" s="1"/>
  <c r="M35" i="24" s="1"/>
  <c r="K36" i="24" s="1"/>
  <c r="M36" i="24" s="1"/>
  <c r="K37" i="24" s="1"/>
  <c r="M37" i="24" s="1"/>
  <c r="K38" i="24" s="1"/>
  <c r="M38" i="24" s="1"/>
  <c r="K39" i="24" s="1"/>
  <c r="M39" i="24" s="1"/>
  <c r="K40" i="24" s="1"/>
  <c r="M40" i="24" s="1"/>
  <c r="K41" i="24" s="1"/>
  <c r="M41" i="24" s="1"/>
  <c r="K42" i="24" s="1"/>
  <c r="M42" i="24" s="1"/>
  <c r="K43" i="24" s="1"/>
  <c r="M43" i="24" s="1"/>
  <c r="K44" i="24" s="1"/>
  <c r="M44" i="24" s="1"/>
  <c r="K45" i="24" s="1"/>
  <c r="M45" i="24" s="1"/>
  <c r="K46" i="24" s="1"/>
  <c r="M46" i="24" s="1"/>
  <c r="K47" i="24" s="1"/>
  <c r="M47" i="24" s="1"/>
  <c r="K48" i="24" s="1"/>
  <c r="M48" i="24" s="1"/>
  <c r="K49" i="24" s="1"/>
  <c r="M49" i="24" s="1"/>
  <c r="K50" i="24" s="1"/>
  <c r="M50" i="24" s="1"/>
  <c r="K51" i="24" s="1"/>
  <c r="M51" i="24" s="1"/>
  <c r="K52" i="24" s="1"/>
  <c r="M52" i="24" s="1"/>
  <c r="K53" i="24" s="1"/>
  <c r="M53" i="24" s="1"/>
  <c r="K54" i="24" s="1"/>
  <c r="M54" i="24" s="1"/>
  <c r="K55" i="24" s="1"/>
  <c r="M55" i="24" s="1"/>
  <c r="K56" i="24" s="1"/>
  <c r="M56" i="24" s="1"/>
  <c r="K57" i="24" s="1"/>
  <c r="M57" i="24" s="1"/>
  <c r="K58" i="24" s="1"/>
  <c r="M58" i="24" s="1"/>
  <c r="K59" i="24" s="1"/>
  <c r="M59" i="24" s="1"/>
  <c r="K60" i="24" s="1"/>
  <c r="M60" i="24" s="1"/>
  <c r="K61" i="24" s="1"/>
  <c r="M61" i="24" s="1"/>
  <c r="K62" i="24" s="1"/>
  <c r="M62" i="24" s="1"/>
  <c r="K63" i="24" s="1"/>
  <c r="M63" i="24" s="1"/>
  <c r="K64" i="24" s="1"/>
  <c r="M64" i="24" s="1"/>
  <c r="G116" i="24"/>
  <c r="H29" i="22"/>
  <c r="E30" i="22" s="1"/>
  <c r="H30" i="22" s="1"/>
  <c r="E31" i="22" s="1"/>
  <c r="H31" i="22" s="1"/>
  <c r="E32" i="22" s="1"/>
  <c r="H32" i="22" s="1"/>
  <c r="E33" i="22" s="1"/>
  <c r="H33" i="22" s="1"/>
  <c r="E34" i="22" s="1"/>
  <c r="H34" i="22" s="1"/>
  <c r="E35" i="22" s="1"/>
  <c r="H35" i="22" s="1"/>
  <c r="E36" i="22" s="1"/>
  <c r="H36" i="22" s="1"/>
  <c r="E37" i="22" s="1"/>
  <c r="H37" i="22" s="1"/>
  <c r="E38" i="22" s="1"/>
  <c r="H38" i="22" s="1"/>
  <c r="E39" i="22" s="1"/>
  <c r="H39" i="22" s="1"/>
  <c r="E40" i="22" s="1"/>
  <c r="H40" i="22" s="1"/>
  <c r="E41" i="22" s="1"/>
  <c r="H41" i="22" s="1"/>
  <c r="E42" i="22" s="1"/>
  <c r="H42" i="22" s="1"/>
  <c r="E43" i="22" s="1"/>
  <c r="H43" i="22" s="1"/>
  <c r="E44" i="22" s="1"/>
  <c r="H44" i="22" s="1"/>
  <c r="E45" i="22" s="1"/>
  <c r="H45" i="22" s="1"/>
  <c r="E46" i="22" s="1"/>
  <c r="H46" i="22" s="1"/>
  <c r="E47" i="22" s="1"/>
  <c r="H47" i="22" s="1"/>
  <c r="E48" i="22" s="1"/>
  <c r="H48" i="22" s="1"/>
  <c r="E49" i="22" s="1"/>
  <c r="H49" i="22" s="1"/>
  <c r="E50" i="22" s="1"/>
  <c r="H50" i="22" s="1"/>
  <c r="E51" i="22" s="1"/>
  <c r="H51" i="22" s="1"/>
  <c r="E52" i="22" s="1"/>
  <c r="H52" i="22" s="1"/>
  <c r="E53" i="22" s="1"/>
  <c r="H53" i="22" s="1"/>
  <c r="E54" i="22" s="1"/>
  <c r="H54" i="22" s="1"/>
  <c r="E55" i="22" s="1"/>
  <c r="H55" i="22" s="1"/>
  <c r="E56" i="22" s="1"/>
  <c r="H56" i="22" s="1"/>
  <c r="E57" i="22" s="1"/>
  <c r="H57" i="22" s="1"/>
  <c r="E58" i="22" s="1"/>
  <c r="H58" i="22" s="1"/>
  <c r="E59" i="22" s="1"/>
  <c r="H59" i="22" s="1"/>
  <c r="E60" i="22" s="1"/>
  <c r="H60" i="22" s="1"/>
  <c r="E61" i="22" s="1"/>
  <c r="H61" i="22" s="1"/>
  <c r="E62" i="22" s="1"/>
  <c r="H62" i="22" s="1"/>
  <c r="E63" i="22" s="1"/>
  <c r="H63" i="22" s="1"/>
  <c r="E64" i="22" s="1"/>
  <c r="H64" i="22" s="1"/>
  <c r="P48" i="29"/>
  <c r="P49" i="29" s="1"/>
  <c r="H29" i="5"/>
  <c r="E30" i="5" s="1"/>
  <c r="G30" i="5" s="1"/>
  <c r="H29" i="14"/>
  <c r="E30" i="14" s="1"/>
  <c r="G30" i="14" s="1"/>
  <c r="H29" i="4"/>
  <c r="E30" i="4" s="1"/>
  <c r="G30" i="4" s="1"/>
  <c r="F34" i="4"/>
  <c r="O34" i="4" s="1"/>
  <c r="F34" i="24"/>
  <c r="O34" i="24" s="1"/>
  <c r="K31" i="27"/>
  <c r="M31" i="27" s="1"/>
  <c r="K32" i="27" s="1"/>
  <c r="M32" i="27" s="1"/>
  <c r="K33" i="27" s="1"/>
  <c r="M33" i="27" s="1"/>
  <c r="K34" i="27" s="1"/>
  <c r="M34" i="27" s="1"/>
  <c r="K35" i="27" s="1"/>
  <c r="M35" i="27" s="1"/>
  <c r="K36" i="27" s="1"/>
  <c r="M36" i="27" s="1"/>
  <c r="K37" i="27" s="1"/>
  <c r="M37" i="27" s="1"/>
  <c r="K38" i="27" s="1"/>
  <c r="M38" i="27" s="1"/>
  <c r="K39" i="27" s="1"/>
  <c r="M39" i="27" s="1"/>
  <c r="K40" i="27" s="1"/>
  <c r="M40" i="27" s="1"/>
  <c r="K41" i="27" s="1"/>
  <c r="M41" i="27" s="1"/>
  <c r="K42" i="27" s="1"/>
  <c r="M42" i="27" s="1"/>
  <c r="K43" i="27" s="1"/>
  <c r="M43" i="27" s="1"/>
  <c r="K44" i="27" s="1"/>
  <c r="M44" i="27" s="1"/>
  <c r="K45" i="27" s="1"/>
  <c r="M45" i="27" s="1"/>
  <c r="K46" i="27" s="1"/>
  <c r="M46" i="27" s="1"/>
  <c r="K47" i="27" s="1"/>
  <c r="M47" i="27" s="1"/>
  <c r="K48" i="27" s="1"/>
  <c r="M48" i="27" s="1"/>
  <c r="K49" i="27" s="1"/>
  <c r="M49" i="27" s="1"/>
  <c r="K50" i="27" s="1"/>
  <c r="M50" i="27" s="1"/>
  <c r="K51" i="27" s="1"/>
  <c r="M51" i="27" s="1"/>
  <c r="K52" i="27" s="1"/>
  <c r="M52" i="27" s="1"/>
  <c r="K53" i="27" s="1"/>
  <c r="M53" i="27" s="1"/>
  <c r="K54" i="27" s="1"/>
  <c r="M54" i="27" s="1"/>
  <c r="K55" i="27" s="1"/>
  <c r="M55" i="27" s="1"/>
  <c r="K56" i="27" s="1"/>
  <c r="M56" i="27" s="1"/>
  <c r="K57" i="27" s="1"/>
  <c r="M57" i="27" s="1"/>
  <c r="K58" i="27" s="1"/>
  <c r="M58" i="27" s="1"/>
  <c r="K59" i="27" s="1"/>
  <c r="M59" i="27" s="1"/>
  <c r="K60" i="27" s="1"/>
  <c r="M60" i="27" s="1"/>
  <c r="K61" i="27" s="1"/>
  <c r="M61" i="27" s="1"/>
  <c r="K62" i="27" s="1"/>
  <c r="M62" i="27" s="1"/>
  <c r="K63" i="27" s="1"/>
  <c r="M63" i="27" s="1"/>
  <c r="K64" i="27" s="1"/>
  <c r="M64" i="27" s="1"/>
  <c r="G116" i="27"/>
  <c r="F47" i="11"/>
  <c r="H5" i="33"/>
  <c r="J5" i="33"/>
  <c r="K31" i="8"/>
  <c r="M31" i="8" s="1"/>
  <c r="K32" i="8" s="1"/>
  <c r="M32" i="8" s="1"/>
  <c r="K33" i="8" s="1"/>
  <c r="M33" i="8" s="1"/>
  <c r="K34" i="8" s="1"/>
  <c r="M34" i="8" s="1"/>
  <c r="K35" i="8" s="1"/>
  <c r="M35" i="8" s="1"/>
  <c r="K36" i="8" s="1"/>
  <c r="M36" i="8" s="1"/>
  <c r="K37" i="8" s="1"/>
  <c r="M37" i="8" s="1"/>
  <c r="K38" i="8" s="1"/>
  <c r="M38" i="8" s="1"/>
  <c r="K39" i="8" s="1"/>
  <c r="M39" i="8" s="1"/>
  <c r="K40" i="8" s="1"/>
  <c r="M40" i="8" s="1"/>
  <c r="G116" i="8"/>
  <c r="H30" i="8"/>
  <c r="E31" i="8" s="1"/>
  <c r="G31" i="8" s="1"/>
  <c r="M22" i="28"/>
  <c r="F64" i="29"/>
  <c r="B64" i="29"/>
  <c r="G64" i="29" s="1"/>
  <c r="A51" i="29"/>
  <c r="F50" i="29"/>
  <c r="B50" i="29"/>
  <c r="G50" i="29" s="1"/>
  <c r="O49" i="29"/>
  <c r="O50" i="29" s="1"/>
  <c r="J36" i="29"/>
  <c r="D37" i="29"/>
  <c r="L63" i="28"/>
  <c r="L59" i="28"/>
  <c r="L55" i="28"/>
  <c r="L51" i="28"/>
  <c r="L47" i="28"/>
  <c r="L43" i="28"/>
  <c r="L39" i="28"/>
  <c r="L35" i="28"/>
  <c r="L31" i="28"/>
  <c r="L64" i="28"/>
  <c r="L60" i="28"/>
  <c r="L56" i="28"/>
  <c r="L52" i="28"/>
  <c r="L48" i="28"/>
  <c r="L44" i="28"/>
  <c r="L40" i="28"/>
  <c r="L36" i="28"/>
  <c r="L32" i="28"/>
  <c r="L61" i="28"/>
  <c r="L57" i="28"/>
  <c r="L53" i="28"/>
  <c r="L49" i="28"/>
  <c r="L45" i="28"/>
  <c r="L41" i="28"/>
  <c r="L37" i="28"/>
  <c r="L33" i="28"/>
  <c r="L29" i="28"/>
  <c r="K29" i="28"/>
  <c r="L62" i="28"/>
  <c r="L58" i="28"/>
  <c r="L54" i="28"/>
  <c r="L50" i="28"/>
  <c r="L46" i="28"/>
  <c r="L42" i="28"/>
  <c r="L38" i="28"/>
  <c r="L34" i="28"/>
  <c r="L30" i="28"/>
  <c r="D38" i="28"/>
  <c r="J37" i="28"/>
  <c r="G30" i="27"/>
  <c r="D38" i="27"/>
  <c r="J37" i="27"/>
  <c r="E110" i="26"/>
  <c r="L63" i="26"/>
  <c r="L59" i="26"/>
  <c r="L55" i="26"/>
  <c r="L51" i="26"/>
  <c r="L47" i="26"/>
  <c r="L43" i="26"/>
  <c r="L39" i="26"/>
  <c r="L35" i="26"/>
  <c r="L31" i="26"/>
  <c r="L58" i="26"/>
  <c r="L54" i="26"/>
  <c r="L30" i="26"/>
  <c r="L34" i="26"/>
  <c r="L64" i="26"/>
  <c r="L60" i="26"/>
  <c r="L56" i="26"/>
  <c r="L52" i="26"/>
  <c r="L48" i="26"/>
  <c r="L44" i="26"/>
  <c r="L40" i="26"/>
  <c r="L36" i="26"/>
  <c r="L32" i="26"/>
  <c r="L46" i="26"/>
  <c r="L38" i="26"/>
  <c r="L61" i="26"/>
  <c r="L57" i="26"/>
  <c r="L53" i="26"/>
  <c r="L49" i="26"/>
  <c r="L45" i="26"/>
  <c r="L41" i="26"/>
  <c r="L37" i="26"/>
  <c r="L33" i="26"/>
  <c r="L29" i="26"/>
  <c r="Q29" i="26" s="1"/>
  <c r="K29" i="26"/>
  <c r="L62" i="26"/>
  <c r="L50" i="26"/>
  <c r="L42" i="26"/>
  <c r="D36" i="26"/>
  <c r="J35" i="26"/>
  <c r="G30" i="24"/>
  <c r="D37" i="24"/>
  <c r="J36" i="24"/>
  <c r="D38" i="23"/>
  <c r="J37" i="23"/>
  <c r="E110" i="23"/>
  <c r="M22" i="23"/>
  <c r="M29" i="13"/>
  <c r="K30" i="13" s="1"/>
  <c r="M30" i="13" s="1"/>
  <c r="K31" i="13" s="1"/>
  <c r="M31" i="13" s="1"/>
  <c r="K32" i="13" s="1"/>
  <c r="M32" i="13" s="1"/>
  <c r="K33" i="13" s="1"/>
  <c r="M33" i="13" s="1"/>
  <c r="K34" i="13" s="1"/>
  <c r="M34" i="13" s="1"/>
  <c r="K35" i="13" s="1"/>
  <c r="M35" i="13" s="1"/>
  <c r="K36" i="13" s="1"/>
  <c r="M36" i="13" s="1"/>
  <c r="K37" i="13" s="1"/>
  <c r="M37" i="13" s="1"/>
  <c r="K38" i="13" s="1"/>
  <c r="M38" i="13" s="1"/>
  <c r="K39" i="13" s="1"/>
  <c r="M39" i="13" s="1"/>
  <c r="K40" i="13" s="1"/>
  <c r="M40" i="13" s="1"/>
  <c r="K41" i="13" s="1"/>
  <c r="L34" i="17"/>
  <c r="M22" i="21"/>
  <c r="L59" i="21" s="1"/>
  <c r="E110" i="19"/>
  <c r="D36" i="22"/>
  <c r="J35" i="22"/>
  <c r="L62" i="22"/>
  <c r="L54" i="22"/>
  <c r="L46" i="22"/>
  <c r="L38" i="22"/>
  <c r="L30" i="22"/>
  <c r="K29" i="22"/>
  <c r="L63" i="22"/>
  <c r="L55" i="22"/>
  <c r="L47" i="22"/>
  <c r="L39" i="22"/>
  <c r="L31" i="22"/>
  <c r="L64" i="22"/>
  <c r="L56" i="22"/>
  <c r="L48" i="22"/>
  <c r="L40" i="22"/>
  <c r="L32" i="22"/>
  <c r="L57" i="22"/>
  <c r="L49" i="22"/>
  <c r="L41" i="22"/>
  <c r="L33" i="22"/>
  <c r="L61" i="22"/>
  <c r="L58" i="22"/>
  <c r="L50" i="22"/>
  <c r="L42" i="22"/>
  <c r="L34" i="22"/>
  <c r="L59" i="22"/>
  <c r="L51" i="22"/>
  <c r="L43" i="22"/>
  <c r="L35" i="22"/>
  <c r="L60" i="22"/>
  <c r="L52" i="22"/>
  <c r="L44" i="22"/>
  <c r="L36" i="22"/>
  <c r="L53" i="22"/>
  <c r="L45" i="22"/>
  <c r="L37" i="22"/>
  <c r="L29" i="22"/>
  <c r="L49" i="17"/>
  <c r="L42" i="17"/>
  <c r="L56" i="17"/>
  <c r="L59" i="15"/>
  <c r="L47" i="17"/>
  <c r="D37" i="21"/>
  <c r="J36" i="21"/>
  <c r="L64" i="17"/>
  <c r="L56" i="15"/>
  <c r="L54" i="17"/>
  <c r="Q30" i="13"/>
  <c r="Q31" i="13" s="1"/>
  <c r="Q32" i="13" s="1"/>
  <c r="Q33" i="13" s="1"/>
  <c r="Q34" i="13" s="1"/>
  <c r="Q35" i="13" s="1"/>
  <c r="Q36" i="13" s="1"/>
  <c r="Q37" i="13" s="1"/>
  <c r="Q38" i="13" s="1"/>
  <c r="Q39" i="13" s="1"/>
  <c r="Q40" i="13" s="1"/>
  <c r="Q41" i="13" s="1"/>
  <c r="Q42" i="13" s="1"/>
  <c r="Q43" i="13" s="1"/>
  <c r="Q44" i="13" s="1"/>
  <c r="Q45" i="13" s="1"/>
  <c r="Q46" i="13" s="1"/>
  <c r="Q47" i="13" s="1"/>
  <c r="Q48" i="13" s="1"/>
  <c r="Q49" i="13" s="1"/>
  <c r="Q50" i="13" s="1"/>
  <c r="Q51" i="13" s="1"/>
  <c r="Q52" i="13" s="1"/>
  <c r="Q53" i="13" s="1"/>
  <c r="Q54" i="13" s="1"/>
  <c r="Q55" i="13" s="1"/>
  <c r="Q56" i="13" s="1"/>
  <c r="Q57" i="13" s="1"/>
  <c r="Q58" i="13" s="1"/>
  <c r="Q59" i="13" s="1"/>
  <c r="Q60" i="13" s="1"/>
  <c r="Q61" i="13" s="1"/>
  <c r="Q62" i="13" s="1"/>
  <c r="Q63" i="13" s="1"/>
  <c r="Q64" i="13" s="1"/>
  <c r="L45" i="17"/>
  <c r="L32" i="17"/>
  <c r="D36" i="20"/>
  <c r="J35" i="20"/>
  <c r="L63" i="20"/>
  <c r="L59" i="20"/>
  <c r="L55" i="20"/>
  <c r="L51" i="20"/>
  <c r="L47" i="20"/>
  <c r="L43" i="20"/>
  <c r="L39" i="20"/>
  <c r="L35" i="20"/>
  <c r="L31" i="20"/>
  <c r="L64" i="20"/>
  <c r="L60" i="20"/>
  <c r="L56" i="20"/>
  <c r="L52" i="20"/>
  <c r="L48" i="20"/>
  <c r="L44" i="20"/>
  <c r="L40" i="20"/>
  <c r="L36" i="20"/>
  <c r="L32" i="20"/>
  <c r="L61" i="20"/>
  <c r="L57" i="20"/>
  <c r="L53" i="20"/>
  <c r="L49" i="20"/>
  <c r="L41" i="20"/>
  <c r="L42" i="20"/>
  <c r="L50" i="20"/>
  <c r="L45" i="20"/>
  <c r="L29" i="20"/>
  <c r="L38" i="20"/>
  <c r="L54" i="20"/>
  <c r="L46" i="20"/>
  <c r="L30" i="20"/>
  <c r="K29" i="20"/>
  <c r="L62" i="20"/>
  <c r="L58" i="20"/>
  <c r="L33" i="20"/>
  <c r="L34" i="20"/>
  <c r="L37" i="20"/>
  <c r="L37" i="15"/>
  <c r="L29" i="15"/>
  <c r="Q29" i="15" s="1"/>
  <c r="L39" i="15"/>
  <c r="L46" i="17"/>
  <c r="L31" i="17"/>
  <c r="L36" i="15"/>
  <c r="L31" i="15"/>
  <c r="L53" i="15"/>
  <c r="L37" i="17"/>
  <c r="L54" i="15"/>
  <c r="M29" i="11"/>
  <c r="K30" i="11" s="1"/>
  <c r="M30" i="11" s="1"/>
  <c r="K31" i="11" s="1"/>
  <c r="M31" i="11" s="1"/>
  <c r="K32" i="11" s="1"/>
  <c r="M32" i="11" s="1"/>
  <c r="K33" i="11" s="1"/>
  <c r="M33" i="11" s="1"/>
  <c r="K34" i="11" s="1"/>
  <c r="M34" i="11" s="1"/>
  <c r="K35" i="11" s="1"/>
  <c r="M35" i="11" s="1"/>
  <c r="K36" i="11" s="1"/>
  <c r="M36" i="11" s="1"/>
  <c r="K37" i="11" s="1"/>
  <c r="M37" i="11" s="1"/>
  <c r="K38" i="11" s="1"/>
  <c r="M38" i="11" s="1"/>
  <c r="K39" i="11" s="1"/>
  <c r="M39" i="11" s="1"/>
  <c r="K40" i="11" s="1"/>
  <c r="M40" i="11" s="1"/>
  <c r="K41" i="11" s="1"/>
  <c r="M41" i="11" s="1"/>
  <c r="K42" i="11" s="1"/>
  <c r="M42" i="11" s="1"/>
  <c r="K43" i="11" s="1"/>
  <c r="L43" i="17"/>
  <c r="L57" i="17"/>
  <c r="L55" i="15"/>
  <c r="L43" i="15"/>
  <c r="L63" i="19"/>
  <c r="L59" i="19"/>
  <c r="L55" i="19"/>
  <c r="L51" i="19"/>
  <c r="L47" i="19"/>
  <c r="L43" i="19"/>
  <c r="L39" i="19"/>
  <c r="L35" i="19"/>
  <c r="L31" i="19"/>
  <c r="L64" i="19"/>
  <c r="L60" i="19"/>
  <c r="L56" i="19"/>
  <c r="L52" i="19"/>
  <c r="L48" i="19"/>
  <c r="L44" i="19"/>
  <c r="L40" i="19"/>
  <c r="L36" i="19"/>
  <c r="L32" i="19"/>
  <c r="L61" i="19"/>
  <c r="L57" i="19"/>
  <c r="L53" i="19"/>
  <c r="L49" i="19"/>
  <c r="L45" i="19"/>
  <c r="L41" i="19"/>
  <c r="L37" i="19"/>
  <c r="L33" i="19"/>
  <c r="L29" i="19"/>
  <c r="Q29" i="19" s="1"/>
  <c r="K29" i="19"/>
  <c r="L62" i="19"/>
  <c r="L58" i="19"/>
  <c r="L54" i="19"/>
  <c r="L50" i="19"/>
  <c r="L46" i="19"/>
  <c r="L42" i="19"/>
  <c r="L38" i="19"/>
  <c r="L34" i="19"/>
  <c r="L30" i="19"/>
  <c r="D37" i="19"/>
  <c r="J36" i="19"/>
  <c r="L32" i="15"/>
  <c r="L34" i="15"/>
  <c r="L30" i="15"/>
  <c r="L42" i="15"/>
  <c r="L63" i="15"/>
  <c r="L60" i="15"/>
  <c r="L50" i="15"/>
  <c r="L49" i="15"/>
  <c r="L58" i="17"/>
  <c r="L36" i="17"/>
  <c r="L55" i="17"/>
  <c r="L40" i="15"/>
  <c r="L45" i="15"/>
  <c r="L38" i="15"/>
  <c r="L64" i="15"/>
  <c r="Q30" i="11"/>
  <c r="Q31" i="11" s="1"/>
  <c r="Q32" i="11" s="1"/>
  <c r="Q33" i="11" s="1"/>
  <c r="Q34" i="11" s="1"/>
  <c r="Q35" i="11" s="1"/>
  <c r="Q36" i="11" s="1"/>
  <c r="Q37" i="11" s="1"/>
  <c r="Q38" i="11" s="1"/>
  <c r="Q39" i="11" s="1"/>
  <c r="Q40" i="11" s="1"/>
  <c r="Q41" i="11" s="1"/>
  <c r="Q42" i="11" s="1"/>
  <c r="Q43" i="11" s="1"/>
  <c r="Q44" i="11" s="1"/>
  <c r="Q45" i="11" s="1"/>
  <c r="Q46" i="11" s="1"/>
  <c r="Q47" i="11" s="1"/>
  <c r="Q48" i="11" s="1"/>
  <c r="Q49" i="11" s="1"/>
  <c r="Q50" i="11" s="1"/>
  <c r="Q51" i="11" s="1"/>
  <c r="Q52" i="11" s="1"/>
  <c r="Q53" i="11" s="1"/>
  <c r="Q54" i="11" s="1"/>
  <c r="Q55" i="11" s="1"/>
  <c r="Q56" i="11" s="1"/>
  <c r="Q57" i="11" s="1"/>
  <c r="Q58" i="11" s="1"/>
  <c r="Q59" i="11" s="1"/>
  <c r="Q60" i="11" s="1"/>
  <c r="Q61" i="11" s="1"/>
  <c r="Q62" i="11" s="1"/>
  <c r="Q63" i="11" s="1"/>
  <c r="Q64" i="11" s="1"/>
  <c r="K29" i="17"/>
  <c r="L44" i="17"/>
  <c r="L63" i="17"/>
  <c r="L62" i="15"/>
  <c r="K29" i="15"/>
  <c r="L47" i="15"/>
  <c r="L51" i="15"/>
  <c r="L33" i="17"/>
  <c r="L48" i="17"/>
  <c r="L33" i="15"/>
  <c r="L46" i="15"/>
  <c r="L58" i="15"/>
  <c r="L61" i="15"/>
  <c r="L48" i="15"/>
  <c r="L35" i="15"/>
  <c r="L44" i="15"/>
  <c r="L52" i="15"/>
  <c r="L41" i="15"/>
  <c r="D38" i="18"/>
  <c r="J37" i="18"/>
  <c r="L63" i="18"/>
  <c r="L59" i="18"/>
  <c r="L55" i="18"/>
  <c r="L51" i="18"/>
  <c r="L47" i="18"/>
  <c r="L43" i="18"/>
  <c r="L39" i="18"/>
  <c r="L35" i="18"/>
  <c r="L31" i="18"/>
  <c r="L64" i="18"/>
  <c r="L60" i="18"/>
  <c r="L56" i="18"/>
  <c r="L52" i="18"/>
  <c r="L48" i="18"/>
  <c r="L44" i="18"/>
  <c r="L40" i="18"/>
  <c r="L36" i="18"/>
  <c r="L32" i="18"/>
  <c r="L61" i="18"/>
  <c r="L57" i="18"/>
  <c r="L53" i="18"/>
  <c r="L49" i="18"/>
  <c r="L45" i="18"/>
  <c r="L41" i="18"/>
  <c r="L37" i="18"/>
  <c r="L33" i="18"/>
  <c r="L29" i="18"/>
  <c r="K29" i="18"/>
  <c r="L62" i="18"/>
  <c r="L58" i="18"/>
  <c r="L54" i="18"/>
  <c r="L50" i="18"/>
  <c r="L46" i="18"/>
  <c r="L42" i="18"/>
  <c r="L38" i="18"/>
  <c r="L34" i="18"/>
  <c r="L30" i="18"/>
  <c r="L38" i="17"/>
  <c r="L29" i="17"/>
  <c r="Q29" i="17" s="1"/>
  <c r="L61" i="17"/>
  <c r="L60" i="17"/>
  <c r="L59" i="17"/>
  <c r="L50" i="17"/>
  <c r="L41" i="17"/>
  <c r="L40" i="17"/>
  <c r="L39" i="17"/>
  <c r="L30" i="17"/>
  <c r="L62" i="17"/>
  <c r="L53" i="17"/>
  <c r="L52" i="17"/>
  <c r="L51" i="17"/>
  <c r="E110" i="17"/>
  <c r="D37" i="17"/>
  <c r="J36" i="17"/>
  <c r="D37" i="16"/>
  <c r="J36" i="16"/>
  <c r="J36" i="15"/>
  <c r="D37" i="15"/>
  <c r="P30" i="15"/>
  <c r="D38" i="14"/>
  <c r="J37" i="14"/>
  <c r="P30" i="14"/>
  <c r="G30" i="13"/>
  <c r="H30" i="13" s="1"/>
  <c r="E31" i="13" s="1"/>
  <c r="D37" i="13"/>
  <c r="J36" i="13"/>
  <c r="D37" i="12"/>
  <c r="J36" i="12"/>
  <c r="G30" i="12"/>
  <c r="H30" i="12" s="1"/>
  <c r="E31" i="12" s="1"/>
  <c r="P30" i="11"/>
  <c r="D37" i="11"/>
  <c r="J36" i="11"/>
  <c r="G31" i="11"/>
  <c r="H30" i="10"/>
  <c r="E31" i="10" s="1"/>
  <c r="P30" i="10"/>
  <c r="D36" i="10"/>
  <c r="J35" i="10"/>
  <c r="D37" i="9"/>
  <c r="J36" i="9"/>
  <c r="G30" i="9"/>
  <c r="H30" i="9" s="1"/>
  <c r="E31" i="9" s="1"/>
  <c r="P30" i="8"/>
  <c r="D38" i="8"/>
  <c r="J37" i="8"/>
  <c r="G30" i="7"/>
  <c r="H30" i="7" s="1"/>
  <c r="E31" i="7" s="1"/>
  <c r="D37" i="7"/>
  <c r="J36" i="7"/>
  <c r="P30" i="6"/>
  <c r="D37" i="6"/>
  <c r="J36" i="6"/>
  <c r="G31" i="6"/>
  <c r="D37" i="5"/>
  <c r="J36" i="5"/>
  <c r="D42" i="4"/>
  <c r="J41" i="4"/>
  <c r="F21" i="33" a="1"/>
  <c r="K15" i="33" a="1"/>
  <c r="K19" i="33" a="1"/>
  <c r="K27" i="33" a="1"/>
  <c r="K24" i="33" a="1"/>
  <c r="H23" i="33" a="1"/>
  <c r="J23" i="33" a="1"/>
  <c r="F119" i="24"/>
  <c r="F19" i="33" a="1"/>
  <c r="F11" i="33" a="1"/>
  <c r="F27" i="33" a="1"/>
  <c r="H25" i="33" a="1"/>
  <c r="J25" i="33" a="1"/>
  <c r="F119" i="27"/>
  <c r="K21" i="33" a="1"/>
  <c r="K18" i="33" a="1"/>
  <c r="K17" i="33" a="1"/>
  <c r="K16" i="33" a="1"/>
  <c r="F17" i="33" a="1"/>
  <c r="F13" i="33" a="1"/>
  <c r="F13" i="33" l="1"/>
  <c r="F17" i="33"/>
  <c r="K16" i="33"/>
  <c r="K17" i="33"/>
  <c r="K18" i="33"/>
  <c r="K21" i="33"/>
  <c r="J25" i="33"/>
  <c r="H25" i="33"/>
  <c r="F27" i="33"/>
  <c r="F11" i="33"/>
  <c r="F19" i="33"/>
  <c r="J23" i="33"/>
  <c r="H23" i="33"/>
  <c r="K24" i="33"/>
  <c r="K27" i="33"/>
  <c r="K19" i="33"/>
  <c r="K15" i="33"/>
  <c r="F21" i="33"/>
  <c r="M41" i="13"/>
  <c r="K42" i="13" s="1"/>
  <c r="M42" i="13" s="1"/>
  <c r="K43" i="13" s="1"/>
  <c r="M43" i="13" s="1"/>
  <c r="K44" i="13" s="1"/>
  <c r="M44" i="13" s="1"/>
  <c r="K45" i="13" s="1"/>
  <c r="M45" i="13" s="1"/>
  <c r="K46" i="13" s="1"/>
  <c r="M46" i="13" s="1"/>
  <c r="K47" i="13" s="1"/>
  <c r="M47" i="13" s="1"/>
  <c r="K48" i="13" s="1"/>
  <c r="M48" i="13" s="1"/>
  <c r="K49" i="13" s="1"/>
  <c r="M49" i="13" s="1"/>
  <c r="K50" i="13" s="1"/>
  <c r="M50" i="13" s="1"/>
  <c r="K51" i="13" s="1"/>
  <c r="M51" i="13" s="1"/>
  <c r="K52" i="13" s="1"/>
  <c r="M52" i="13" s="1"/>
  <c r="F116" i="13"/>
  <c r="F116" i="18"/>
  <c r="Q29" i="18"/>
  <c r="H30" i="5"/>
  <c r="E31" i="5" s="1"/>
  <c r="G31" i="5" s="1"/>
  <c r="Q29" i="22"/>
  <c r="H30" i="27"/>
  <c r="E31" i="27" s="1"/>
  <c r="G31" i="27" s="1"/>
  <c r="F116" i="28"/>
  <c r="O47" i="11"/>
  <c r="O48" i="11" s="1"/>
  <c r="H30" i="4"/>
  <c r="E31" i="4" s="1"/>
  <c r="G31" i="4" s="1"/>
  <c r="P30" i="4"/>
  <c r="P30" i="5"/>
  <c r="H30" i="14"/>
  <c r="E31" i="14" s="1"/>
  <c r="G31" i="14" s="1"/>
  <c r="M43" i="11"/>
  <c r="K44" i="11" s="1"/>
  <c r="M44" i="11" s="1"/>
  <c r="K45" i="11" s="1"/>
  <c r="M45" i="11" s="1"/>
  <c r="K46" i="11" s="1"/>
  <c r="M46" i="11" s="1"/>
  <c r="K47" i="11" s="1"/>
  <c r="M47" i="11" s="1"/>
  <c r="K48" i="11" s="1"/>
  <c r="M48" i="11" s="1"/>
  <c r="K49" i="11" s="1"/>
  <c r="M49" i="11" s="1"/>
  <c r="K50" i="11" s="1"/>
  <c r="M50" i="11" s="1"/>
  <c r="K51" i="11" s="1"/>
  <c r="M51" i="11" s="1"/>
  <c r="K52" i="11" s="1"/>
  <c r="M52" i="11" s="1"/>
  <c r="K53" i="11" s="1"/>
  <c r="M53" i="11" s="1"/>
  <c r="K54" i="11" s="1"/>
  <c r="M54" i="11" s="1"/>
  <c r="F116" i="11"/>
  <c r="F116" i="20"/>
  <c r="H30" i="24"/>
  <c r="E31" i="24" s="1"/>
  <c r="G31" i="24" s="1"/>
  <c r="Q29" i="28"/>
  <c r="F48" i="11"/>
  <c r="F35" i="24"/>
  <c r="K56" i="10"/>
  <c r="M56" i="10" s="1"/>
  <c r="K57" i="10" s="1"/>
  <c r="M57" i="10" s="1"/>
  <c r="K58" i="10" s="1"/>
  <c r="M58" i="10" s="1"/>
  <c r="K59" i="10" s="1"/>
  <c r="M59" i="10" s="1"/>
  <c r="K60" i="10" s="1"/>
  <c r="M60" i="10" s="1"/>
  <c r="K61" i="10" s="1"/>
  <c r="M61" i="10" s="1"/>
  <c r="K62" i="10" s="1"/>
  <c r="M62" i="10" s="1"/>
  <c r="K63" i="10" s="1"/>
  <c r="M63" i="10" s="1"/>
  <c r="K64" i="10" s="1"/>
  <c r="M64" i="10" s="1"/>
  <c r="G116" i="10"/>
  <c r="F47" i="12"/>
  <c r="O46" i="12"/>
  <c r="K54" i="12"/>
  <c r="M54" i="12" s="1"/>
  <c r="K55" i="12" s="1"/>
  <c r="M55" i="12" s="1"/>
  <c r="K56" i="12" s="1"/>
  <c r="M56" i="12" s="1"/>
  <c r="K57" i="12" s="1"/>
  <c r="M57" i="12" s="1"/>
  <c r="K58" i="12" s="1"/>
  <c r="M58" i="12" s="1"/>
  <c r="K59" i="12" s="1"/>
  <c r="M59" i="12" s="1"/>
  <c r="K60" i="12" s="1"/>
  <c r="M60" i="12" s="1"/>
  <c r="K61" i="12" s="1"/>
  <c r="M61" i="12" s="1"/>
  <c r="K62" i="12" s="1"/>
  <c r="M62" i="12" s="1"/>
  <c r="K63" i="12" s="1"/>
  <c r="M63" i="12" s="1"/>
  <c r="K64" i="12" s="1"/>
  <c r="M64" i="12" s="1"/>
  <c r="G116" i="12"/>
  <c r="Q29" i="20"/>
  <c r="F35" i="4"/>
  <c r="O35" i="4" s="1"/>
  <c r="F35" i="14"/>
  <c r="F116" i="22"/>
  <c r="K60" i="9"/>
  <c r="M60" i="9" s="1"/>
  <c r="K61" i="9" s="1"/>
  <c r="M61" i="9" s="1"/>
  <c r="K62" i="9" s="1"/>
  <c r="M62" i="9" s="1"/>
  <c r="K63" i="9" s="1"/>
  <c r="M63" i="9" s="1"/>
  <c r="K64" i="9" s="1"/>
  <c r="M64" i="9" s="1"/>
  <c r="K65" i="9" s="1"/>
  <c r="M65" i="9" s="1"/>
  <c r="K66" i="9" s="1"/>
  <c r="M66" i="9" s="1"/>
  <c r="K67" i="9" s="1"/>
  <c r="M67" i="9" s="1"/>
  <c r="G116" i="9"/>
  <c r="K58" i="7"/>
  <c r="M58" i="7" s="1"/>
  <c r="K59" i="7" s="1"/>
  <c r="M59" i="7" s="1"/>
  <c r="K60" i="7" s="1"/>
  <c r="M60" i="7" s="1"/>
  <c r="K61" i="7" s="1"/>
  <c r="M61" i="7" s="1"/>
  <c r="K62" i="7" s="1"/>
  <c r="M62" i="7" s="1"/>
  <c r="K63" i="7" s="1"/>
  <c r="M63" i="7" s="1"/>
  <c r="K64" i="7" s="1"/>
  <c r="M64" i="7" s="1"/>
  <c r="G116" i="7"/>
  <c r="F35" i="27"/>
  <c r="K60" i="6"/>
  <c r="M60" i="6" s="1"/>
  <c r="K61" i="6" s="1"/>
  <c r="M61" i="6" s="1"/>
  <c r="K62" i="6" s="1"/>
  <c r="M62" i="6" s="1"/>
  <c r="K63" i="6" s="1"/>
  <c r="M63" i="6" s="1"/>
  <c r="K64" i="6" s="1"/>
  <c r="M64" i="6" s="1"/>
  <c r="G116" i="6"/>
  <c r="H31" i="8"/>
  <c r="E32" i="8" s="1"/>
  <c r="G32" i="8" s="1"/>
  <c r="P50" i="29"/>
  <c r="A52" i="29"/>
  <c r="F51" i="29"/>
  <c r="O51" i="29" s="1"/>
  <c r="B51" i="29"/>
  <c r="G51" i="29" s="1"/>
  <c r="J37" i="29"/>
  <c r="D38" i="29"/>
  <c r="M29" i="28"/>
  <c r="K30" i="28" s="1"/>
  <c r="M30" i="28" s="1"/>
  <c r="K31" i="28" s="1"/>
  <c r="M31" i="28" s="1"/>
  <c r="K32" i="28" s="1"/>
  <c r="M32" i="28" s="1"/>
  <c r="K33" i="28" s="1"/>
  <c r="M33" i="28" s="1"/>
  <c r="K34" i="28" s="1"/>
  <c r="M34" i="28" s="1"/>
  <c r="K35" i="28" s="1"/>
  <c r="M35" i="28" s="1"/>
  <c r="K36" i="28" s="1"/>
  <c r="M36" i="28" s="1"/>
  <c r="J38" i="28"/>
  <c r="D39" i="28"/>
  <c r="Q30" i="28"/>
  <c r="Q31" i="28" s="1"/>
  <c r="Q32" i="28" s="1"/>
  <c r="Q33" i="28" s="1"/>
  <c r="Q34" i="28" s="1"/>
  <c r="Q35" i="28" s="1"/>
  <c r="Q36" i="28" s="1"/>
  <c r="Q37" i="28" s="1"/>
  <c r="Q38" i="28" s="1"/>
  <c r="Q39" i="28" s="1"/>
  <c r="Q40" i="28" s="1"/>
  <c r="Q41" i="28" s="1"/>
  <c r="Q42" i="28" s="1"/>
  <c r="Q43" i="28" s="1"/>
  <c r="Q44" i="28" s="1"/>
  <c r="Q45" i="28" s="1"/>
  <c r="Q46" i="28" s="1"/>
  <c r="Q47" i="28" s="1"/>
  <c r="Q48" i="28" s="1"/>
  <c r="Q49" i="28" s="1"/>
  <c r="Q50" i="28" s="1"/>
  <c r="Q51" i="28" s="1"/>
  <c r="Q52" i="28" s="1"/>
  <c r="Q53" i="28" s="1"/>
  <c r="Q54" i="28" s="1"/>
  <c r="Q55" i="28" s="1"/>
  <c r="Q56" i="28" s="1"/>
  <c r="Q57" i="28" s="1"/>
  <c r="Q58" i="28" s="1"/>
  <c r="Q59" i="28" s="1"/>
  <c r="Q60" i="28" s="1"/>
  <c r="Q61" i="28" s="1"/>
  <c r="Q62" i="28" s="1"/>
  <c r="Q63" i="28" s="1"/>
  <c r="Q64" i="28" s="1"/>
  <c r="D39" i="27"/>
  <c r="J38" i="27"/>
  <c r="P30" i="27"/>
  <c r="M29" i="26"/>
  <c r="K30" i="26" s="1"/>
  <c r="M30" i="26" s="1"/>
  <c r="K31" i="26" s="1"/>
  <c r="M31" i="26" s="1"/>
  <c r="K32" i="26" s="1"/>
  <c r="M32" i="26" s="1"/>
  <c r="K33" i="26" s="1"/>
  <c r="M33" i="26" s="1"/>
  <c r="K34" i="26" s="1"/>
  <c r="M34" i="26" s="1"/>
  <c r="K35" i="26" s="1"/>
  <c r="D37" i="26"/>
  <c r="J36" i="26"/>
  <c r="Q30" i="26"/>
  <c r="Q31" i="26" s="1"/>
  <c r="Q32" i="26" s="1"/>
  <c r="Q33" i="26" s="1"/>
  <c r="Q34" i="26" s="1"/>
  <c r="Q35" i="26" s="1"/>
  <c r="Q36" i="26" s="1"/>
  <c r="Q37" i="26" s="1"/>
  <c r="Q38" i="26" s="1"/>
  <c r="Q39" i="26" s="1"/>
  <c r="Q40" i="26" s="1"/>
  <c r="Q41" i="26" s="1"/>
  <c r="Q42" i="26" s="1"/>
  <c r="Q43" i="26" s="1"/>
  <c r="Q44" i="26" s="1"/>
  <c r="Q45" i="26" s="1"/>
  <c r="Q46" i="26" s="1"/>
  <c r="Q47" i="26" s="1"/>
  <c r="Q48" i="26" s="1"/>
  <c r="Q49" i="26" s="1"/>
  <c r="Q50" i="26" s="1"/>
  <c r="Q51" i="26" s="1"/>
  <c r="Q52" i="26" s="1"/>
  <c r="Q53" i="26" s="1"/>
  <c r="Q54" i="26" s="1"/>
  <c r="Q55" i="26" s="1"/>
  <c r="Q56" i="26" s="1"/>
  <c r="Q57" i="26" s="1"/>
  <c r="Q58" i="26" s="1"/>
  <c r="Q59" i="26" s="1"/>
  <c r="Q60" i="26" s="1"/>
  <c r="Q61" i="26" s="1"/>
  <c r="Q62" i="26" s="1"/>
  <c r="Q63" i="26" s="1"/>
  <c r="Q64" i="26" s="1"/>
  <c r="P30" i="24"/>
  <c r="D38" i="24"/>
  <c r="J37" i="24"/>
  <c r="L31" i="21"/>
  <c r="L60" i="21"/>
  <c r="L39" i="21"/>
  <c r="L62" i="21"/>
  <c r="L55" i="21"/>
  <c r="L30" i="21"/>
  <c r="L37" i="21"/>
  <c r="L53" i="21"/>
  <c r="L58" i="21"/>
  <c r="L44" i="21"/>
  <c r="L63" i="23"/>
  <c r="L59" i="23"/>
  <c r="L55" i="23"/>
  <c r="L51" i="23"/>
  <c r="L47" i="23"/>
  <c r="L43" i="23"/>
  <c r="L39" i="23"/>
  <c r="L35" i="23"/>
  <c r="L31" i="23"/>
  <c r="L64" i="23"/>
  <c r="L60" i="23"/>
  <c r="L56" i="23"/>
  <c r="L52" i="23"/>
  <c r="L48" i="23"/>
  <c r="L44" i="23"/>
  <c r="L40" i="23"/>
  <c r="L36" i="23"/>
  <c r="L32" i="23"/>
  <c r="L54" i="23"/>
  <c r="L42" i="23"/>
  <c r="L61" i="23"/>
  <c r="L57" i="23"/>
  <c r="L53" i="23"/>
  <c r="L49" i="23"/>
  <c r="L45" i="23"/>
  <c r="L41" i="23"/>
  <c r="L37" i="23"/>
  <c r="L33" i="23"/>
  <c r="L29" i="23"/>
  <c r="L62" i="23"/>
  <c r="L58" i="23"/>
  <c r="K29" i="23"/>
  <c r="L46" i="23"/>
  <c r="L30" i="23"/>
  <c r="L38" i="23"/>
  <c r="L50" i="23"/>
  <c r="L34" i="23"/>
  <c r="J38" i="23"/>
  <c r="D39" i="23"/>
  <c r="L46" i="21"/>
  <c r="L45" i="21"/>
  <c r="L36" i="21"/>
  <c r="L63" i="21"/>
  <c r="L50" i="21"/>
  <c r="L49" i="21"/>
  <c r="L40" i="21"/>
  <c r="L35" i="21"/>
  <c r="K29" i="21"/>
  <c r="L57" i="21"/>
  <c r="L43" i="21"/>
  <c r="L34" i="21"/>
  <c r="L29" i="21"/>
  <c r="L61" i="21"/>
  <c r="L52" i="21"/>
  <c r="L47" i="21"/>
  <c r="L48" i="21"/>
  <c r="L38" i="21"/>
  <c r="L33" i="21"/>
  <c r="L54" i="21"/>
  <c r="L56" i="21"/>
  <c r="L51" i="21"/>
  <c r="L42" i="21"/>
  <c r="L41" i="21"/>
  <c r="L32" i="21"/>
  <c r="L64" i="21"/>
  <c r="Q30" i="22"/>
  <c r="Q31" i="22" s="1"/>
  <c r="Q32" i="22" s="1"/>
  <c r="Q33" i="22" s="1"/>
  <c r="Q34" i="22" s="1"/>
  <c r="Q35" i="22" s="1"/>
  <c r="Q36" i="22" s="1"/>
  <c r="Q37" i="22" s="1"/>
  <c r="Q38" i="22" s="1"/>
  <c r="Q39" i="22" s="1"/>
  <c r="Q40" i="22" s="1"/>
  <c r="Q41" i="22" s="1"/>
  <c r="Q42" i="22" s="1"/>
  <c r="Q43" i="22" s="1"/>
  <c r="Q44" i="22" s="1"/>
  <c r="Q45" i="22" s="1"/>
  <c r="Q46" i="22" s="1"/>
  <c r="Q47" i="22" s="1"/>
  <c r="Q48" i="22" s="1"/>
  <c r="Q49" i="22" s="1"/>
  <c r="Q50" i="22" s="1"/>
  <c r="Q51" i="22" s="1"/>
  <c r="Q52" i="22" s="1"/>
  <c r="Q53" i="22" s="1"/>
  <c r="Q54" i="22" s="1"/>
  <c r="Q55" i="22" s="1"/>
  <c r="Q56" i="22" s="1"/>
  <c r="Q57" i="22" s="1"/>
  <c r="Q58" i="22" s="1"/>
  <c r="Q59" i="22" s="1"/>
  <c r="Q60" i="22" s="1"/>
  <c r="Q61" i="22" s="1"/>
  <c r="Q62" i="22" s="1"/>
  <c r="Q63" i="22" s="1"/>
  <c r="Q64" i="22" s="1"/>
  <c r="J36" i="22"/>
  <c r="D37" i="22"/>
  <c r="M29" i="22"/>
  <c r="K30" i="22" s="1"/>
  <c r="M30" i="22" s="1"/>
  <c r="K31" i="22" s="1"/>
  <c r="M31" i="22" s="1"/>
  <c r="K32" i="22" s="1"/>
  <c r="M32" i="22" s="1"/>
  <c r="K33" i="22" s="1"/>
  <c r="M33" i="22" s="1"/>
  <c r="K34" i="22" s="1"/>
  <c r="M34" i="22" s="1"/>
  <c r="K35" i="22" s="1"/>
  <c r="M35" i="22" s="1"/>
  <c r="K36" i="22" s="1"/>
  <c r="M36" i="22" s="1"/>
  <c r="K37" i="22" s="1"/>
  <c r="M37" i="22" s="1"/>
  <c r="Q30" i="15"/>
  <c r="Q31" i="15" s="1"/>
  <c r="Q32" i="15" s="1"/>
  <c r="Q33" i="15" s="1"/>
  <c r="Q34" i="15" s="1"/>
  <c r="Q35" i="15" s="1"/>
  <c r="Q36" i="15" s="1"/>
  <c r="Q37" i="15" s="1"/>
  <c r="Q38" i="15" s="1"/>
  <c r="Q39" i="15" s="1"/>
  <c r="Q40" i="15" s="1"/>
  <c r="Q41" i="15" s="1"/>
  <c r="Q42" i="15" s="1"/>
  <c r="Q43" i="15" s="1"/>
  <c r="Q44" i="15" s="1"/>
  <c r="Q45" i="15" s="1"/>
  <c r="Q46" i="15" s="1"/>
  <c r="Q47" i="15" s="1"/>
  <c r="Q48" i="15" s="1"/>
  <c r="Q49" i="15" s="1"/>
  <c r="Q50" i="15" s="1"/>
  <c r="Q51" i="15" s="1"/>
  <c r="Q52" i="15" s="1"/>
  <c r="Q53" i="15" s="1"/>
  <c r="Q54" i="15" s="1"/>
  <c r="Q55" i="15" s="1"/>
  <c r="Q56" i="15" s="1"/>
  <c r="Q57" i="15" s="1"/>
  <c r="Q58" i="15" s="1"/>
  <c r="Q59" i="15" s="1"/>
  <c r="Q60" i="15" s="1"/>
  <c r="Q61" i="15" s="1"/>
  <c r="Q62" i="15" s="1"/>
  <c r="Q63" i="15" s="1"/>
  <c r="Q64" i="15" s="1"/>
  <c r="D38" i="21"/>
  <c r="J37" i="21"/>
  <c r="Q30" i="20"/>
  <c r="Q31" i="20" s="1"/>
  <c r="Q32" i="20" s="1"/>
  <c r="Q33" i="20" s="1"/>
  <c r="Q34" i="20" s="1"/>
  <c r="Q35" i="20" s="1"/>
  <c r="Q36" i="20" s="1"/>
  <c r="Q37" i="20" s="1"/>
  <c r="Q38" i="20" s="1"/>
  <c r="Q39" i="20" s="1"/>
  <c r="Q40" i="20" s="1"/>
  <c r="Q41" i="20" s="1"/>
  <c r="Q42" i="20" s="1"/>
  <c r="Q43" i="20" s="1"/>
  <c r="Q44" i="20" s="1"/>
  <c r="Q45" i="20" s="1"/>
  <c r="Q46" i="20" s="1"/>
  <c r="Q47" i="20" s="1"/>
  <c r="Q48" i="20" s="1"/>
  <c r="Q49" i="20" s="1"/>
  <c r="Q50" i="20" s="1"/>
  <c r="Q51" i="20" s="1"/>
  <c r="Q52" i="20" s="1"/>
  <c r="Q53" i="20" s="1"/>
  <c r="Q54" i="20" s="1"/>
  <c r="Q55" i="20" s="1"/>
  <c r="Q56" i="20" s="1"/>
  <c r="Q57" i="20" s="1"/>
  <c r="Q58" i="20" s="1"/>
  <c r="Q59" i="20" s="1"/>
  <c r="Q60" i="20" s="1"/>
  <c r="Q61" i="20" s="1"/>
  <c r="Q62" i="20" s="1"/>
  <c r="Q63" i="20" s="1"/>
  <c r="Q64" i="20" s="1"/>
  <c r="M29" i="20"/>
  <c r="K30" i="20" s="1"/>
  <c r="M30" i="20" s="1"/>
  <c r="K31" i="20" s="1"/>
  <c r="M31" i="20" s="1"/>
  <c r="K32" i="20" s="1"/>
  <c r="M32" i="20" s="1"/>
  <c r="K33" i="20" s="1"/>
  <c r="M33" i="20" s="1"/>
  <c r="K34" i="20" s="1"/>
  <c r="M34" i="20" s="1"/>
  <c r="K35" i="20" s="1"/>
  <c r="M35" i="20" s="1"/>
  <c r="K36" i="20" s="1"/>
  <c r="M36" i="20" s="1"/>
  <c r="K37" i="20" s="1"/>
  <c r="M37" i="20" s="1"/>
  <c r="D37" i="20"/>
  <c r="J36" i="20"/>
  <c r="M29" i="15"/>
  <c r="K30" i="15" s="1"/>
  <c r="M30" i="15" s="1"/>
  <c r="K31" i="15" s="1"/>
  <c r="M31" i="15" s="1"/>
  <c r="K32" i="15" s="1"/>
  <c r="M32" i="15" s="1"/>
  <c r="K33" i="15" s="1"/>
  <c r="M33" i="15" s="1"/>
  <c r="K34" i="15" s="1"/>
  <c r="M34" i="15" s="1"/>
  <c r="K35" i="15" s="1"/>
  <c r="M35" i="15" s="1"/>
  <c r="K36" i="15" s="1"/>
  <c r="M36" i="15" s="1"/>
  <c r="K37" i="15" s="1"/>
  <c r="M37" i="15" s="1"/>
  <c r="K38" i="15" s="1"/>
  <c r="M38" i="15" s="1"/>
  <c r="K39" i="15" s="1"/>
  <c r="M39" i="15" s="1"/>
  <c r="K40" i="15" s="1"/>
  <c r="D38" i="19"/>
  <c r="J37" i="19"/>
  <c r="M29" i="19"/>
  <c r="K30" i="19" s="1"/>
  <c r="Q30" i="19"/>
  <c r="Q31" i="19" s="1"/>
  <c r="Q32" i="19" s="1"/>
  <c r="Q33" i="19" s="1"/>
  <c r="Q34" i="19" s="1"/>
  <c r="Q35" i="19" s="1"/>
  <c r="Q36" i="19" s="1"/>
  <c r="Q37" i="19" s="1"/>
  <c r="Q38" i="19" s="1"/>
  <c r="Q39" i="19" s="1"/>
  <c r="Q40" i="19" s="1"/>
  <c r="Q41" i="19" s="1"/>
  <c r="Q42" i="19" s="1"/>
  <c r="Q43" i="19" s="1"/>
  <c r="Q44" i="19" s="1"/>
  <c r="Q45" i="19" s="1"/>
  <c r="Q46" i="19" s="1"/>
  <c r="Q47" i="19" s="1"/>
  <c r="Q48" i="19" s="1"/>
  <c r="Q49" i="19" s="1"/>
  <c r="Q50" i="19" s="1"/>
  <c r="Q51" i="19" s="1"/>
  <c r="Q52" i="19" s="1"/>
  <c r="Q53" i="19" s="1"/>
  <c r="Q54" i="19" s="1"/>
  <c r="Q55" i="19" s="1"/>
  <c r="Q56" i="19" s="1"/>
  <c r="Q57" i="19" s="1"/>
  <c r="Q58" i="19" s="1"/>
  <c r="Q59" i="19" s="1"/>
  <c r="Q60" i="19" s="1"/>
  <c r="Q61" i="19" s="1"/>
  <c r="Q62" i="19" s="1"/>
  <c r="Q63" i="19" s="1"/>
  <c r="Q64" i="19" s="1"/>
  <c r="M29" i="18"/>
  <c r="K30" i="18" s="1"/>
  <c r="M30" i="18" s="1"/>
  <c r="K31" i="18" s="1"/>
  <c r="M31" i="18" s="1"/>
  <c r="K32" i="18" s="1"/>
  <c r="M32" i="18" s="1"/>
  <c r="K33" i="18" s="1"/>
  <c r="M33" i="18" s="1"/>
  <c r="K34" i="18" s="1"/>
  <c r="M34" i="18" s="1"/>
  <c r="K35" i="18" s="1"/>
  <c r="M35" i="18" s="1"/>
  <c r="K36" i="18" s="1"/>
  <c r="M36" i="18" s="1"/>
  <c r="K37" i="18" s="1"/>
  <c r="M37" i="18" s="1"/>
  <c r="K38" i="18" s="1"/>
  <c r="M38" i="18" s="1"/>
  <c r="K39" i="18" s="1"/>
  <c r="M39" i="18" s="1"/>
  <c r="K40" i="18" s="1"/>
  <c r="M40" i="18" s="1"/>
  <c r="Q30" i="18"/>
  <c r="Q31" i="18" s="1"/>
  <c r="Q32" i="18" s="1"/>
  <c r="Q33" i="18" s="1"/>
  <c r="Q34" i="18" s="1"/>
  <c r="Q35" i="18" s="1"/>
  <c r="Q36" i="18" s="1"/>
  <c r="Q37" i="18" s="1"/>
  <c r="Q38" i="18" s="1"/>
  <c r="Q39" i="18" s="1"/>
  <c r="Q40" i="18" s="1"/>
  <c r="Q41" i="18" s="1"/>
  <c r="Q42" i="18" s="1"/>
  <c r="Q43" i="18" s="1"/>
  <c r="Q44" i="18" s="1"/>
  <c r="Q45" i="18" s="1"/>
  <c r="Q46" i="18" s="1"/>
  <c r="Q47" i="18" s="1"/>
  <c r="Q48" i="18" s="1"/>
  <c r="Q49" i="18" s="1"/>
  <c r="Q50" i="18" s="1"/>
  <c r="Q51" i="18" s="1"/>
  <c r="Q52" i="18" s="1"/>
  <c r="Q53" i="18" s="1"/>
  <c r="Q54" i="18" s="1"/>
  <c r="Q55" i="18" s="1"/>
  <c r="Q56" i="18" s="1"/>
  <c r="Q57" i="18" s="1"/>
  <c r="Q58" i="18" s="1"/>
  <c r="Q59" i="18" s="1"/>
  <c r="Q60" i="18" s="1"/>
  <c r="Q61" i="18" s="1"/>
  <c r="Q62" i="18" s="1"/>
  <c r="Q63" i="18" s="1"/>
  <c r="Q64" i="18" s="1"/>
  <c r="J38" i="18"/>
  <c r="D39" i="18"/>
  <c r="Q30" i="17"/>
  <c r="Q31" i="17" s="1"/>
  <c r="Q32" i="17" s="1"/>
  <c r="Q33" i="17" s="1"/>
  <c r="Q34" i="17" s="1"/>
  <c r="Q35" i="17" s="1"/>
  <c r="Q36" i="17" s="1"/>
  <c r="Q37" i="17" s="1"/>
  <c r="Q38" i="17" s="1"/>
  <c r="Q39" i="17" s="1"/>
  <c r="Q40" i="17" s="1"/>
  <c r="Q41" i="17" s="1"/>
  <c r="Q42" i="17" s="1"/>
  <c r="Q43" i="17" s="1"/>
  <c r="Q44" i="17" s="1"/>
  <c r="Q45" i="17" s="1"/>
  <c r="Q46" i="17" s="1"/>
  <c r="Q47" i="17" s="1"/>
  <c r="Q48" i="17" s="1"/>
  <c r="Q49" i="17" s="1"/>
  <c r="Q50" i="17" s="1"/>
  <c r="Q51" i="17" s="1"/>
  <c r="Q52" i="17" s="1"/>
  <c r="Q53" i="17" s="1"/>
  <c r="Q54" i="17" s="1"/>
  <c r="Q55" i="17" s="1"/>
  <c r="Q56" i="17" s="1"/>
  <c r="Q57" i="17" s="1"/>
  <c r="Q58" i="17" s="1"/>
  <c r="Q59" i="17" s="1"/>
  <c r="Q60" i="17" s="1"/>
  <c r="Q61" i="17" s="1"/>
  <c r="Q62" i="17" s="1"/>
  <c r="Q63" i="17" s="1"/>
  <c r="Q64" i="17" s="1"/>
  <c r="M29" i="17"/>
  <c r="K30" i="17" s="1"/>
  <c r="M30" i="17" s="1"/>
  <c r="K31" i="17" s="1"/>
  <c r="M31" i="17" s="1"/>
  <c r="K32" i="17" s="1"/>
  <c r="M32" i="17" s="1"/>
  <c r="K33" i="17" s="1"/>
  <c r="D38" i="17"/>
  <c r="J37" i="17"/>
  <c r="D38" i="16"/>
  <c r="J37" i="16"/>
  <c r="H30" i="15"/>
  <c r="E31" i="15" s="1"/>
  <c r="P31" i="15" s="1"/>
  <c r="D38" i="15"/>
  <c r="J37" i="15"/>
  <c r="J38" i="14"/>
  <c r="D39" i="14"/>
  <c r="P31" i="11"/>
  <c r="P31" i="8"/>
  <c r="G31" i="13"/>
  <c r="H31" i="13" s="1"/>
  <c r="E32" i="13" s="1"/>
  <c r="D38" i="13"/>
  <c r="J37" i="13"/>
  <c r="P30" i="13"/>
  <c r="P30" i="12"/>
  <c r="G31" i="12"/>
  <c r="H31" i="12" s="1"/>
  <c r="E32" i="12" s="1"/>
  <c r="D38" i="12"/>
  <c r="J37" i="12"/>
  <c r="D38" i="11"/>
  <c r="J37" i="11"/>
  <c r="H31" i="11"/>
  <c r="E32" i="11" s="1"/>
  <c r="J36" i="10"/>
  <c r="D37" i="10"/>
  <c r="G31" i="10"/>
  <c r="H31" i="10" s="1"/>
  <c r="E32" i="10" s="1"/>
  <c r="G31" i="9"/>
  <c r="H31" i="9" s="1"/>
  <c r="E32" i="9" s="1"/>
  <c r="D38" i="9"/>
  <c r="J37" i="9"/>
  <c r="P30" i="9"/>
  <c r="J38" i="8"/>
  <c r="D39" i="8"/>
  <c r="P30" i="7"/>
  <c r="G31" i="7"/>
  <c r="H31" i="7" s="1"/>
  <c r="E32" i="7" s="1"/>
  <c r="D38" i="7"/>
  <c r="J37" i="7"/>
  <c r="H31" i="6"/>
  <c r="E32" i="6" s="1"/>
  <c r="D38" i="6"/>
  <c r="J37" i="6"/>
  <c r="P31" i="6"/>
  <c r="H31" i="5"/>
  <c r="E32" i="5" s="1"/>
  <c r="G32" i="5" s="1"/>
  <c r="H32" i="5" s="1"/>
  <c r="E33" i="5" s="1"/>
  <c r="D38" i="5"/>
  <c r="J37" i="5"/>
  <c r="P31" i="4"/>
  <c r="D43" i="4"/>
  <c r="J42" i="4"/>
  <c r="H31" i="4"/>
  <c r="E32" i="4" s="1"/>
  <c r="F119" i="4"/>
  <c r="J4" i="33" a="1"/>
  <c r="H4" i="33" a="1"/>
  <c r="F24" i="33" a="1"/>
  <c r="F16" i="33" a="1"/>
  <c r="F22" i="33" a="1"/>
  <c r="F20" i="33" a="1"/>
  <c r="K20" i="33" a="1"/>
  <c r="F18" i="33" a="1"/>
  <c r="K22" i="33" a="1"/>
  <c r="F15" i="33" a="1"/>
  <c r="P31" i="5" l="1"/>
  <c r="F15" i="33"/>
  <c r="K22" i="33"/>
  <c r="F18" i="33"/>
  <c r="K20" i="33"/>
  <c r="F20" i="33"/>
  <c r="F22" i="33"/>
  <c r="F16" i="33"/>
  <c r="F24" i="33"/>
  <c r="H4" i="33"/>
  <c r="J4" i="33"/>
  <c r="H31" i="27"/>
  <c r="E32" i="27" s="1"/>
  <c r="M40" i="15"/>
  <c r="K41" i="15" s="1"/>
  <c r="M41" i="15" s="1"/>
  <c r="K42" i="15" s="1"/>
  <c r="M42" i="15" s="1"/>
  <c r="K43" i="15" s="1"/>
  <c r="M43" i="15" s="1"/>
  <c r="K44" i="15" s="1"/>
  <c r="M44" i="15" s="1"/>
  <c r="K45" i="15" s="1"/>
  <c r="M45" i="15" s="1"/>
  <c r="K46" i="15" s="1"/>
  <c r="M46" i="15" s="1"/>
  <c r="K47" i="15" s="1"/>
  <c r="M47" i="15" s="1"/>
  <c r="K48" i="15" s="1"/>
  <c r="M48" i="15" s="1"/>
  <c r="K49" i="15" s="1"/>
  <c r="M49" i="15" s="1"/>
  <c r="K50" i="15" s="1"/>
  <c r="M50" i="15" s="1"/>
  <c r="K51" i="15" s="1"/>
  <c r="M51" i="15" s="1"/>
  <c r="F116" i="15"/>
  <c r="Q29" i="23"/>
  <c r="F36" i="24"/>
  <c r="O49" i="11"/>
  <c r="M30" i="19"/>
  <c r="K31" i="19" s="1"/>
  <c r="M31" i="19" s="1"/>
  <c r="K32" i="19" s="1"/>
  <c r="M32" i="19" s="1"/>
  <c r="K33" i="19" s="1"/>
  <c r="M33" i="19" s="1"/>
  <c r="K34" i="19" s="1"/>
  <c r="M34" i="19" s="1"/>
  <c r="K35" i="19" s="1"/>
  <c r="M35" i="19" s="1"/>
  <c r="K36" i="19" s="1"/>
  <c r="M36" i="19" s="1"/>
  <c r="K37" i="19" s="1"/>
  <c r="M37" i="19" s="1"/>
  <c r="K38" i="19" s="1"/>
  <c r="M38" i="19" s="1"/>
  <c r="K39" i="19" s="1"/>
  <c r="M39" i="19" s="1"/>
  <c r="K40" i="19" s="1"/>
  <c r="M40" i="19" s="1"/>
  <c r="K41" i="19" s="1"/>
  <c r="M41" i="19" s="1"/>
  <c r="F116" i="19"/>
  <c r="Q29" i="21"/>
  <c r="Q30" i="21" s="1"/>
  <c r="F116" i="21"/>
  <c r="F116" i="23"/>
  <c r="F36" i="27"/>
  <c r="F49" i="11"/>
  <c r="O35" i="24"/>
  <c r="O36" i="24" s="1"/>
  <c r="K38" i="20"/>
  <c r="M38" i="20" s="1"/>
  <c r="K39" i="20" s="1"/>
  <c r="M39" i="20" s="1"/>
  <c r="K40" i="20" s="1"/>
  <c r="M40" i="20" s="1"/>
  <c r="K41" i="20" s="1"/>
  <c r="M41" i="20" s="1"/>
  <c r="K42" i="20" s="1"/>
  <c r="M42" i="20" s="1"/>
  <c r="K43" i="20" s="1"/>
  <c r="M43" i="20" s="1"/>
  <c r="K44" i="20" s="1"/>
  <c r="M44" i="20" s="1"/>
  <c r="K45" i="20" s="1"/>
  <c r="M45" i="20" s="1"/>
  <c r="K46" i="20" s="1"/>
  <c r="M46" i="20" s="1"/>
  <c r="K47" i="20" s="1"/>
  <c r="M47" i="20" s="1"/>
  <c r="K48" i="20" s="1"/>
  <c r="M48" i="20" s="1"/>
  <c r="K49" i="20" s="1"/>
  <c r="M49" i="20" s="1"/>
  <c r="K50" i="20" s="1"/>
  <c r="M50" i="20" s="1"/>
  <c r="K51" i="20" s="1"/>
  <c r="M51" i="20" s="1"/>
  <c r="K52" i="20" s="1"/>
  <c r="M52" i="20" s="1"/>
  <c r="K53" i="20" s="1"/>
  <c r="M53" i="20" s="1"/>
  <c r="K54" i="20" s="1"/>
  <c r="M54" i="20" s="1"/>
  <c r="K55" i="20" s="1"/>
  <c r="M55" i="20" s="1"/>
  <c r="K56" i="20" s="1"/>
  <c r="M56" i="20" s="1"/>
  <c r="K57" i="20" s="1"/>
  <c r="M57" i="20" s="1"/>
  <c r="K58" i="20" s="1"/>
  <c r="M58" i="20" s="1"/>
  <c r="K59" i="20" s="1"/>
  <c r="M59" i="20" s="1"/>
  <c r="K60" i="20" s="1"/>
  <c r="M60" i="20" s="1"/>
  <c r="K61" i="20" s="1"/>
  <c r="M61" i="20" s="1"/>
  <c r="K62" i="20" s="1"/>
  <c r="M62" i="20" s="1"/>
  <c r="K63" i="20" s="1"/>
  <c r="M63" i="20" s="1"/>
  <c r="K64" i="20" s="1"/>
  <c r="M64" i="20" s="1"/>
  <c r="G116" i="20"/>
  <c r="K38" i="22"/>
  <c r="M38" i="22" s="1"/>
  <c r="K39" i="22" s="1"/>
  <c r="M39" i="22" s="1"/>
  <c r="K40" i="22" s="1"/>
  <c r="M40" i="22" s="1"/>
  <c r="K41" i="22" s="1"/>
  <c r="M41" i="22" s="1"/>
  <c r="K42" i="22" s="1"/>
  <c r="M42" i="22" s="1"/>
  <c r="K43" i="22" s="1"/>
  <c r="M43" i="22" s="1"/>
  <c r="K44" i="22" s="1"/>
  <c r="M44" i="22" s="1"/>
  <c r="K45" i="22" s="1"/>
  <c r="M45" i="22" s="1"/>
  <c r="K46" i="22" s="1"/>
  <c r="M46" i="22" s="1"/>
  <c r="K47" i="22" s="1"/>
  <c r="M47" i="22" s="1"/>
  <c r="K48" i="22" s="1"/>
  <c r="M48" i="22" s="1"/>
  <c r="K49" i="22" s="1"/>
  <c r="M49" i="22" s="1"/>
  <c r="K50" i="22" s="1"/>
  <c r="M50" i="22" s="1"/>
  <c r="K51" i="22" s="1"/>
  <c r="M51" i="22" s="1"/>
  <c r="K52" i="22" s="1"/>
  <c r="M52" i="22" s="1"/>
  <c r="K53" i="22" s="1"/>
  <c r="M53" i="22" s="1"/>
  <c r="K54" i="22" s="1"/>
  <c r="M54" i="22" s="1"/>
  <c r="K55" i="22" s="1"/>
  <c r="M55" i="22" s="1"/>
  <c r="K56" i="22" s="1"/>
  <c r="M56" i="22" s="1"/>
  <c r="K57" i="22" s="1"/>
  <c r="M57" i="22" s="1"/>
  <c r="K58" i="22" s="1"/>
  <c r="M58" i="22" s="1"/>
  <c r="K59" i="22" s="1"/>
  <c r="M59" i="22" s="1"/>
  <c r="K60" i="22" s="1"/>
  <c r="M60" i="22" s="1"/>
  <c r="K61" i="22" s="1"/>
  <c r="M61" i="22" s="1"/>
  <c r="K62" i="22" s="1"/>
  <c r="M62" i="22" s="1"/>
  <c r="K63" i="22" s="1"/>
  <c r="M63" i="22" s="1"/>
  <c r="K64" i="22" s="1"/>
  <c r="M64" i="22" s="1"/>
  <c r="G116" i="22"/>
  <c r="P31" i="14"/>
  <c r="M33" i="17"/>
  <c r="K34" i="17" s="1"/>
  <c r="M34" i="17" s="1"/>
  <c r="K35" i="17" s="1"/>
  <c r="M35" i="17" s="1"/>
  <c r="K36" i="17" s="1"/>
  <c r="M36" i="17" s="1"/>
  <c r="K37" i="17" s="1"/>
  <c r="M37" i="17" s="1"/>
  <c r="K38" i="17" s="1"/>
  <c r="M38" i="17" s="1"/>
  <c r="K39" i="17" s="1"/>
  <c r="M39" i="17" s="1"/>
  <c r="K40" i="17" s="1"/>
  <c r="M40" i="17" s="1"/>
  <c r="K41" i="17" s="1"/>
  <c r="M41" i="17" s="1"/>
  <c r="K42" i="17" s="1"/>
  <c r="M42" i="17" s="1"/>
  <c r="K43" i="17" s="1"/>
  <c r="M43" i="17" s="1"/>
  <c r="K44" i="17" s="1"/>
  <c r="M44" i="17" s="1"/>
  <c r="F116" i="17"/>
  <c r="M35" i="26"/>
  <c r="K36" i="26" s="1"/>
  <c r="M36" i="26" s="1"/>
  <c r="K37" i="26" s="1"/>
  <c r="M37" i="26" s="1"/>
  <c r="K38" i="26" s="1"/>
  <c r="M38" i="26" s="1"/>
  <c r="K39" i="26" s="1"/>
  <c r="M39" i="26" s="1"/>
  <c r="K40" i="26" s="1"/>
  <c r="M40" i="26" s="1"/>
  <c r="K41" i="26" s="1"/>
  <c r="M41" i="26" s="1"/>
  <c r="K42" i="26" s="1"/>
  <c r="M42" i="26" s="1"/>
  <c r="K43" i="26" s="1"/>
  <c r="M43" i="26" s="1"/>
  <c r="K44" i="26" s="1"/>
  <c r="M44" i="26" s="1"/>
  <c r="K45" i="26" s="1"/>
  <c r="M45" i="26" s="1"/>
  <c r="K46" i="26" s="1"/>
  <c r="M46" i="26" s="1"/>
  <c r="F116" i="26"/>
  <c r="K37" i="28"/>
  <c r="M37" i="28" s="1"/>
  <c r="K38" i="28" s="1"/>
  <c r="M38" i="28" s="1"/>
  <c r="K39" i="28" s="1"/>
  <c r="M39" i="28" s="1"/>
  <c r="K40" i="28" s="1"/>
  <c r="M40" i="28" s="1"/>
  <c r="K41" i="28" s="1"/>
  <c r="M41" i="28" s="1"/>
  <c r="K42" i="28" s="1"/>
  <c r="M42" i="28" s="1"/>
  <c r="K43" i="28" s="1"/>
  <c r="M43" i="28" s="1"/>
  <c r="K44" i="28" s="1"/>
  <c r="M44" i="28" s="1"/>
  <c r="K45" i="28" s="1"/>
  <c r="M45" i="28" s="1"/>
  <c r="K46" i="28" s="1"/>
  <c r="M46" i="28" s="1"/>
  <c r="K47" i="28" s="1"/>
  <c r="M47" i="28" s="1"/>
  <c r="K48" i="28" s="1"/>
  <c r="M48" i="28" s="1"/>
  <c r="K49" i="28" s="1"/>
  <c r="M49" i="28" s="1"/>
  <c r="K50" i="28" s="1"/>
  <c r="M50" i="28" s="1"/>
  <c r="K51" i="28" s="1"/>
  <c r="M51" i="28" s="1"/>
  <c r="K52" i="28" s="1"/>
  <c r="M52" i="28" s="1"/>
  <c r="K53" i="28" s="1"/>
  <c r="M53" i="28" s="1"/>
  <c r="K54" i="28" s="1"/>
  <c r="M54" i="28" s="1"/>
  <c r="K55" i="28" s="1"/>
  <c r="M55" i="28" s="1"/>
  <c r="K56" i="28" s="1"/>
  <c r="M56" i="28" s="1"/>
  <c r="K57" i="28" s="1"/>
  <c r="M57" i="28" s="1"/>
  <c r="K58" i="28" s="1"/>
  <c r="M58" i="28" s="1"/>
  <c r="K59" i="28" s="1"/>
  <c r="M59" i="28" s="1"/>
  <c r="K60" i="28" s="1"/>
  <c r="M60" i="28" s="1"/>
  <c r="K61" i="28" s="1"/>
  <c r="M61" i="28" s="1"/>
  <c r="K62" i="28" s="1"/>
  <c r="M62" i="28" s="1"/>
  <c r="K63" i="28" s="1"/>
  <c r="M63" i="28" s="1"/>
  <c r="K64" i="28" s="1"/>
  <c r="M64" i="28" s="1"/>
  <c r="G116" i="28"/>
  <c r="F36" i="4"/>
  <c r="O36" i="4" s="1"/>
  <c r="O47" i="12"/>
  <c r="K55" i="11"/>
  <c r="M55" i="11" s="1"/>
  <c r="K56" i="11" s="1"/>
  <c r="M56" i="11" s="1"/>
  <c r="K57" i="11" s="1"/>
  <c r="M57" i="11" s="1"/>
  <c r="K58" i="11" s="1"/>
  <c r="M58" i="11" s="1"/>
  <c r="K59" i="11" s="1"/>
  <c r="M59" i="11" s="1"/>
  <c r="K60" i="11" s="1"/>
  <c r="M60" i="11" s="1"/>
  <c r="K61" i="11" s="1"/>
  <c r="M61" i="11" s="1"/>
  <c r="K62" i="11" s="1"/>
  <c r="M62" i="11" s="1"/>
  <c r="K63" i="11" s="1"/>
  <c r="M63" i="11" s="1"/>
  <c r="K64" i="11" s="1"/>
  <c r="M64" i="11" s="1"/>
  <c r="G116" i="11"/>
  <c r="O35" i="27"/>
  <c r="O36" i="27" s="1"/>
  <c r="K53" i="13"/>
  <c r="M53" i="13" s="1"/>
  <c r="K54" i="13" s="1"/>
  <c r="M54" i="13" s="1"/>
  <c r="K55" i="13" s="1"/>
  <c r="M55" i="13" s="1"/>
  <c r="K56" i="13" s="1"/>
  <c r="M56" i="13" s="1"/>
  <c r="K57" i="13" s="1"/>
  <c r="M57" i="13" s="1"/>
  <c r="K58" i="13" s="1"/>
  <c r="M58" i="13" s="1"/>
  <c r="K59" i="13" s="1"/>
  <c r="M59" i="13" s="1"/>
  <c r="K60" i="13" s="1"/>
  <c r="M60" i="13" s="1"/>
  <c r="K61" i="13" s="1"/>
  <c r="M61" i="13" s="1"/>
  <c r="K62" i="13" s="1"/>
  <c r="M62" i="13" s="1"/>
  <c r="K63" i="13" s="1"/>
  <c r="M63" i="13" s="1"/>
  <c r="K64" i="13" s="1"/>
  <c r="M64" i="13" s="1"/>
  <c r="G116" i="13"/>
  <c r="K41" i="18"/>
  <c r="M41" i="18" s="1"/>
  <c r="K42" i="18" s="1"/>
  <c r="M42" i="18" s="1"/>
  <c r="K43" i="18" s="1"/>
  <c r="M43" i="18" s="1"/>
  <c r="K44" i="18" s="1"/>
  <c r="M44" i="18" s="1"/>
  <c r="K45" i="18" s="1"/>
  <c r="M45" i="18" s="1"/>
  <c r="K46" i="18" s="1"/>
  <c r="M46" i="18" s="1"/>
  <c r="K47" i="18" s="1"/>
  <c r="M47" i="18" s="1"/>
  <c r="K48" i="18" s="1"/>
  <c r="M48" i="18" s="1"/>
  <c r="K49" i="18" s="1"/>
  <c r="M49" i="18" s="1"/>
  <c r="K50" i="18" s="1"/>
  <c r="M50" i="18" s="1"/>
  <c r="K51" i="18" s="1"/>
  <c r="M51" i="18" s="1"/>
  <c r="K52" i="18" s="1"/>
  <c r="M52" i="18" s="1"/>
  <c r="K53" i="18" s="1"/>
  <c r="M53" i="18" s="1"/>
  <c r="K54" i="18" s="1"/>
  <c r="M54" i="18" s="1"/>
  <c r="K55" i="18" s="1"/>
  <c r="M55" i="18" s="1"/>
  <c r="K56" i="18" s="1"/>
  <c r="M56" i="18" s="1"/>
  <c r="K57" i="18" s="1"/>
  <c r="M57" i="18" s="1"/>
  <c r="K58" i="18" s="1"/>
  <c r="M58" i="18" s="1"/>
  <c r="K59" i="18" s="1"/>
  <c r="M59" i="18" s="1"/>
  <c r="K60" i="18" s="1"/>
  <c r="M60" i="18" s="1"/>
  <c r="K61" i="18" s="1"/>
  <c r="M61" i="18" s="1"/>
  <c r="K62" i="18" s="1"/>
  <c r="M62" i="18" s="1"/>
  <c r="K63" i="18" s="1"/>
  <c r="M63" i="18" s="1"/>
  <c r="K64" i="18" s="1"/>
  <c r="M64" i="18" s="1"/>
  <c r="G116" i="18"/>
  <c r="F36" i="14"/>
  <c r="F48" i="12"/>
  <c r="O35" i="14"/>
  <c r="O36" i="14" s="1"/>
  <c r="F52" i="29"/>
  <c r="F110" i="29" s="1"/>
  <c r="B52" i="29"/>
  <c r="G52" i="29" s="1"/>
  <c r="P51" i="29"/>
  <c r="D39" i="29"/>
  <c r="J38" i="29"/>
  <c r="D40" i="28"/>
  <c r="J39" i="28"/>
  <c r="P31" i="27"/>
  <c r="G32" i="27"/>
  <c r="D40" i="27"/>
  <c r="J39" i="27"/>
  <c r="J37" i="26"/>
  <c r="D38" i="26"/>
  <c r="P31" i="24"/>
  <c r="H31" i="24"/>
  <c r="E32" i="24" s="1"/>
  <c r="D39" i="24"/>
  <c r="J38" i="24"/>
  <c r="Q31" i="21"/>
  <c r="Q32" i="21" s="1"/>
  <c r="Q33" i="21" s="1"/>
  <c r="Q34" i="21" s="1"/>
  <c r="Q35" i="21" s="1"/>
  <c r="Q36" i="21" s="1"/>
  <c r="Q37" i="21" s="1"/>
  <c r="Q38" i="21" s="1"/>
  <c r="Q39" i="21" s="1"/>
  <c r="Q40" i="21" s="1"/>
  <c r="Q41" i="21" s="1"/>
  <c r="Q42" i="21" s="1"/>
  <c r="Q43" i="21" s="1"/>
  <c r="Q44" i="21" s="1"/>
  <c r="Q45" i="21" s="1"/>
  <c r="Q46" i="21" s="1"/>
  <c r="Q47" i="21" s="1"/>
  <c r="Q48" i="21" s="1"/>
  <c r="Q49" i="21" s="1"/>
  <c r="Q50" i="21" s="1"/>
  <c r="Q51" i="21" s="1"/>
  <c r="Q52" i="21" s="1"/>
  <c r="Q53" i="21" s="1"/>
  <c r="Q54" i="21" s="1"/>
  <c r="Q55" i="21" s="1"/>
  <c r="Q56" i="21" s="1"/>
  <c r="Q57" i="21" s="1"/>
  <c r="Q58" i="21" s="1"/>
  <c r="Q59" i="21" s="1"/>
  <c r="Q60" i="21" s="1"/>
  <c r="Q61" i="21" s="1"/>
  <c r="Q62" i="21" s="1"/>
  <c r="Q63" i="21" s="1"/>
  <c r="Q64" i="21" s="1"/>
  <c r="M29" i="21"/>
  <c r="K30" i="21" s="1"/>
  <c r="M30" i="21" s="1"/>
  <c r="K31" i="21" s="1"/>
  <c r="M31" i="21" s="1"/>
  <c r="K32" i="21" s="1"/>
  <c r="M32" i="21" s="1"/>
  <c r="K33" i="21" s="1"/>
  <c r="M33" i="21" s="1"/>
  <c r="K34" i="21" s="1"/>
  <c r="M34" i="21" s="1"/>
  <c r="K35" i="21" s="1"/>
  <c r="M35" i="21" s="1"/>
  <c r="K36" i="21" s="1"/>
  <c r="M36" i="21" s="1"/>
  <c r="K37" i="21" s="1"/>
  <c r="M37" i="21" s="1"/>
  <c r="M29" i="23"/>
  <c r="K30" i="23" s="1"/>
  <c r="M30" i="23" s="1"/>
  <c r="K31" i="23" s="1"/>
  <c r="M31" i="23" s="1"/>
  <c r="K32" i="23" s="1"/>
  <c r="M32" i="23" s="1"/>
  <c r="K33" i="23" s="1"/>
  <c r="M33" i="23" s="1"/>
  <c r="K34" i="23" s="1"/>
  <c r="M34" i="23" s="1"/>
  <c r="K35" i="23" s="1"/>
  <c r="M35" i="23" s="1"/>
  <c r="D40" i="23"/>
  <c r="J39" i="23"/>
  <c r="Q30" i="23"/>
  <c r="Q31" i="23" s="1"/>
  <c r="Q32" i="23" s="1"/>
  <c r="Q33" i="23" s="1"/>
  <c r="Q34" i="23" s="1"/>
  <c r="Q35" i="23" s="1"/>
  <c r="Q36" i="23" s="1"/>
  <c r="Q37" i="23" s="1"/>
  <c r="Q38" i="23" s="1"/>
  <c r="Q39" i="23" s="1"/>
  <c r="Q40" i="23" s="1"/>
  <c r="Q41" i="23" s="1"/>
  <c r="Q42" i="23" s="1"/>
  <c r="Q43" i="23" s="1"/>
  <c r="Q44" i="23" s="1"/>
  <c r="Q45" i="23" s="1"/>
  <c r="Q46" i="23" s="1"/>
  <c r="Q47" i="23" s="1"/>
  <c r="Q48" i="23" s="1"/>
  <c r="Q49" i="23" s="1"/>
  <c r="Q50" i="23" s="1"/>
  <c r="Q51" i="23" s="1"/>
  <c r="Q52" i="23" s="1"/>
  <c r="Q53" i="23" s="1"/>
  <c r="Q54" i="23" s="1"/>
  <c r="Q55" i="23" s="1"/>
  <c r="Q56" i="23" s="1"/>
  <c r="Q57" i="23" s="1"/>
  <c r="Q58" i="23" s="1"/>
  <c r="Q59" i="23" s="1"/>
  <c r="Q60" i="23" s="1"/>
  <c r="Q61" i="23" s="1"/>
  <c r="Q62" i="23" s="1"/>
  <c r="Q63" i="23" s="1"/>
  <c r="Q64" i="23" s="1"/>
  <c r="J37" i="22"/>
  <c r="D38" i="22"/>
  <c r="J38" i="21"/>
  <c r="D39" i="21"/>
  <c r="J37" i="20"/>
  <c r="D38" i="20"/>
  <c r="P31" i="13"/>
  <c r="J38" i="19"/>
  <c r="D39" i="19"/>
  <c r="D40" i="18"/>
  <c r="J39" i="18"/>
  <c r="J38" i="17"/>
  <c r="D39" i="17"/>
  <c r="J38" i="16"/>
  <c r="D39" i="16"/>
  <c r="J38" i="15"/>
  <c r="D39" i="15"/>
  <c r="H31" i="15"/>
  <c r="E32" i="15" s="1"/>
  <c r="H31" i="14"/>
  <c r="E32" i="14" s="1"/>
  <c r="G32" i="14" s="1"/>
  <c r="D40" i="14"/>
  <c r="J39" i="14"/>
  <c r="G32" i="13"/>
  <c r="D39" i="13"/>
  <c r="J38" i="13"/>
  <c r="P31" i="12"/>
  <c r="P31" i="9"/>
  <c r="G32" i="12"/>
  <c r="D39" i="12"/>
  <c r="J38" i="12"/>
  <c r="D39" i="11"/>
  <c r="J38" i="11"/>
  <c r="G32" i="11"/>
  <c r="P31" i="10"/>
  <c r="G32" i="10"/>
  <c r="H32" i="10" s="1"/>
  <c r="E33" i="10" s="1"/>
  <c r="J37" i="10"/>
  <c r="D38" i="10"/>
  <c r="G32" i="9"/>
  <c r="D39" i="9"/>
  <c r="J38" i="9"/>
  <c r="P32" i="8"/>
  <c r="J39" i="8"/>
  <c r="D40" i="8"/>
  <c r="J40" i="8" s="1"/>
  <c r="H32" i="8"/>
  <c r="E33" i="8" s="1"/>
  <c r="P31" i="7"/>
  <c r="G32" i="7"/>
  <c r="J38" i="7"/>
  <c r="D39" i="7"/>
  <c r="G32" i="6"/>
  <c r="P32" i="6" s="1"/>
  <c r="D39" i="6"/>
  <c r="J38" i="6"/>
  <c r="G33" i="5"/>
  <c r="D39" i="5"/>
  <c r="J38" i="5"/>
  <c r="P32" i="5"/>
  <c r="G32" i="4"/>
  <c r="D44" i="4"/>
  <c r="J43" i="4"/>
  <c r="G123" i="29"/>
  <c r="F123" i="29" l="1"/>
  <c r="K45" i="17"/>
  <c r="M45" i="17" s="1"/>
  <c r="K46" i="17" s="1"/>
  <c r="M46" i="17" s="1"/>
  <c r="K47" i="17" s="1"/>
  <c r="M47" i="17" s="1"/>
  <c r="K48" i="17" s="1"/>
  <c r="M48" i="17" s="1"/>
  <c r="K49" i="17" s="1"/>
  <c r="M49" i="17" s="1"/>
  <c r="K50" i="17" s="1"/>
  <c r="M50" i="17" s="1"/>
  <c r="K51" i="17" s="1"/>
  <c r="M51" i="17" s="1"/>
  <c r="K52" i="17" s="1"/>
  <c r="M52" i="17" s="1"/>
  <c r="K53" i="17" s="1"/>
  <c r="M53" i="17" s="1"/>
  <c r="K54" i="17" s="1"/>
  <c r="M54" i="17" s="1"/>
  <c r="K55" i="17" s="1"/>
  <c r="M55" i="17" s="1"/>
  <c r="K56" i="17" s="1"/>
  <c r="M56" i="17" s="1"/>
  <c r="K57" i="17" s="1"/>
  <c r="M57" i="17" s="1"/>
  <c r="K58" i="17" s="1"/>
  <c r="M58" i="17" s="1"/>
  <c r="K59" i="17" s="1"/>
  <c r="M59" i="17" s="1"/>
  <c r="K60" i="17" s="1"/>
  <c r="M60" i="17" s="1"/>
  <c r="K61" i="17" s="1"/>
  <c r="M61" i="17" s="1"/>
  <c r="K62" i="17" s="1"/>
  <c r="M62" i="17" s="1"/>
  <c r="K63" i="17" s="1"/>
  <c r="M63" i="17" s="1"/>
  <c r="K64" i="17" s="1"/>
  <c r="M64" i="17" s="1"/>
  <c r="G116" i="17"/>
  <c r="K36" i="23"/>
  <c r="M36" i="23" s="1"/>
  <c r="K37" i="23" s="1"/>
  <c r="M37" i="23" s="1"/>
  <c r="K38" i="23" s="1"/>
  <c r="M38" i="23" s="1"/>
  <c r="K39" i="23" s="1"/>
  <c r="M39" i="23" s="1"/>
  <c r="K40" i="23" s="1"/>
  <c r="M40" i="23" s="1"/>
  <c r="K41" i="23" s="1"/>
  <c r="M41" i="23" s="1"/>
  <c r="K42" i="23" s="1"/>
  <c r="M42" i="23" s="1"/>
  <c r="K43" i="23" s="1"/>
  <c r="M43" i="23" s="1"/>
  <c r="K44" i="23" s="1"/>
  <c r="M44" i="23" s="1"/>
  <c r="K45" i="23" s="1"/>
  <c r="M45" i="23" s="1"/>
  <c r="K46" i="23" s="1"/>
  <c r="M46" i="23" s="1"/>
  <c r="K47" i="23" s="1"/>
  <c r="M47" i="23" s="1"/>
  <c r="K48" i="23" s="1"/>
  <c r="M48" i="23" s="1"/>
  <c r="K49" i="23" s="1"/>
  <c r="M49" i="23" s="1"/>
  <c r="K50" i="23" s="1"/>
  <c r="M50" i="23" s="1"/>
  <c r="K51" i="23" s="1"/>
  <c r="M51" i="23" s="1"/>
  <c r="K52" i="23" s="1"/>
  <c r="M52" i="23" s="1"/>
  <c r="K53" i="23" s="1"/>
  <c r="M53" i="23" s="1"/>
  <c r="K54" i="23" s="1"/>
  <c r="M54" i="23" s="1"/>
  <c r="K55" i="23" s="1"/>
  <c r="M55" i="23" s="1"/>
  <c r="K56" i="23" s="1"/>
  <c r="M56" i="23" s="1"/>
  <c r="K57" i="23" s="1"/>
  <c r="M57" i="23" s="1"/>
  <c r="K58" i="23" s="1"/>
  <c r="M58" i="23" s="1"/>
  <c r="K59" i="23" s="1"/>
  <c r="M59" i="23" s="1"/>
  <c r="K60" i="23" s="1"/>
  <c r="M60" i="23" s="1"/>
  <c r="K61" i="23" s="1"/>
  <c r="M61" i="23" s="1"/>
  <c r="K62" i="23" s="1"/>
  <c r="M62" i="23" s="1"/>
  <c r="K63" i="23" s="1"/>
  <c r="M63" i="23" s="1"/>
  <c r="K64" i="23" s="1"/>
  <c r="M64" i="23" s="1"/>
  <c r="G116" i="23"/>
  <c r="O48" i="12"/>
  <c r="K42" i="19"/>
  <c r="M42" i="19" s="1"/>
  <c r="K43" i="19" s="1"/>
  <c r="M43" i="19" s="1"/>
  <c r="K44" i="19" s="1"/>
  <c r="M44" i="19" s="1"/>
  <c r="K45" i="19" s="1"/>
  <c r="M45" i="19" s="1"/>
  <c r="K46" i="19" s="1"/>
  <c r="M46" i="19" s="1"/>
  <c r="K47" i="19" s="1"/>
  <c r="M47" i="19" s="1"/>
  <c r="K48" i="19" s="1"/>
  <c r="M48" i="19" s="1"/>
  <c r="K49" i="19" s="1"/>
  <c r="M49" i="19" s="1"/>
  <c r="K50" i="19" s="1"/>
  <c r="M50" i="19" s="1"/>
  <c r="K51" i="19" s="1"/>
  <c r="M51" i="19" s="1"/>
  <c r="K52" i="19" s="1"/>
  <c r="M52" i="19" s="1"/>
  <c r="K53" i="19" s="1"/>
  <c r="M53" i="19" s="1"/>
  <c r="K54" i="19" s="1"/>
  <c r="M54" i="19" s="1"/>
  <c r="K55" i="19" s="1"/>
  <c r="M55" i="19" s="1"/>
  <c r="K56" i="19" s="1"/>
  <c r="M56" i="19" s="1"/>
  <c r="K57" i="19" s="1"/>
  <c r="M57" i="19" s="1"/>
  <c r="K58" i="19" s="1"/>
  <c r="M58" i="19" s="1"/>
  <c r="K59" i="19" s="1"/>
  <c r="M59" i="19" s="1"/>
  <c r="K60" i="19" s="1"/>
  <c r="M60" i="19" s="1"/>
  <c r="K61" i="19" s="1"/>
  <c r="M61" i="19" s="1"/>
  <c r="K62" i="19" s="1"/>
  <c r="M62" i="19" s="1"/>
  <c r="K63" i="19" s="1"/>
  <c r="M63" i="19" s="1"/>
  <c r="K64" i="19" s="1"/>
  <c r="M64" i="19" s="1"/>
  <c r="G116" i="19"/>
  <c r="O37" i="4"/>
  <c r="F37" i="4"/>
  <c r="K52" i="15"/>
  <c r="M52" i="15" s="1"/>
  <c r="K53" i="15" s="1"/>
  <c r="M53" i="15" s="1"/>
  <c r="K54" i="15" s="1"/>
  <c r="M54" i="15" s="1"/>
  <c r="K55" i="15" s="1"/>
  <c r="M55" i="15" s="1"/>
  <c r="K56" i="15" s="1"/>
  <c r="M56" i="15" s="1"/>
  <c r="K57" i="15" s="1"/>
  <c r="M57" i="15" s="1"/>
  <c r="K58" i="15" s="1"/>
  <c r="M58" i="15" s="1"/>
  <c r="K59" i="15" s="1"/>
  <c r="M59" i="15" s="1"/>
  <c r="K60" i="15" s="1"/>
  <c r="M60" i="15" s="1"/>
  <c r="K61" i="15" s="1"/>
  <c r="M61" i="15" s="1"/>
  <c r="K62" i="15" s="1"/>
  <c r="M62" i="15" s="1"/>
  <c r="K63" i="15" s="1"/>
  <c r="M63" i="15" s="1"/>
  <c r="K64" i="15" s="1"/>
  <c r="M64" i="15" s="1"/>
  <c r="G116" i="15"/>
  <c r="H32" i="27"/>
  <c r="E33" i="27" s="1"/>
  <c r="G33" i="27" s="1"/>
  <c r="K38" i="21"/>
  <c r="M38" i="21" s="1"/>
  <c r="K39" i="21" s="1"/>
  <c r="M39" i="21" s="1"/>
  <c r="K40" i="21" s="1"/>
  <c r="M40" i="21" s="1"/>
  <c r="K41" i="21" s="1"/>
  <c r="M41" i="21" s="1"/>
  <c r="K42" i="21" s="1"/>
  <c r="M42" i="21" s="1"/>
  <c r="K43" i="21" s="1"/>
  <c r="M43" i="21" s="1"/>
  <c r="K44" i="21" s="1"/>
  <c r="M44" i="21" s="1"/>
  <c r="K45" i="21" s="1"/>
  <c r="M45" i="21" s="1"/>
  <c r="K46" i="21" s="1"/>
  <c r="M46" i="21" s="1"/>
  <c r="K47" i="21" s="1"/>
  <c r="M47" i="21" s="1"/>
  <c r="K48" i="21" s="1"/>
  <c r="M48" i="21" s="1"/>
  <c r="K49" i="21" s="1"/>
  <c r="M49" i="21" s="1"/>
  <c r="K50" i="21" s="1"/>
  <c r="M50" i="21" s="1"/>
  <c r="K51" i="21" s="1"/>
  <c r="M51" i="21" s="1"/>
  <c r="K52" i="21" s="1"/>
  <c r="M52" i="21" s="1"/>
  <c r="K53" i="21" s="1"/>
  <c r="M53" i="21" s="1"/>
  <c r="K54" i="21" s="1"/>
  <c r="M54" i="21" s="1"/>
  <c r="K55" i="21" s="1"/>
  <c r="M55" i="21" s="1"/>
  <c r="K56" i="21" s="1"/>
  <c r="M56" i="21" s="1"/>
  <c r="K57" i="21" s="1"/>
  <c r="M57" i="21" s="1"/>
  <c r="K58" i="21" s="1"/>
  <c r="M58" i="21" s="1"/>
  <c r="K59" i="21" s="1"/>
  <c r="M59" i="21" s="1"/>
  <c r="K60" i="21" s="1"/>
  <c r="M60" i="21" s="1"/>
  <c r="K61" i="21" s="1"/>
  <c r="M61" i="21" s="1"/>
  <c r="K62" i="21" s="1"/>
  <c r="M62" i="21" s="1"/>
  <c r="K63" i="21" s="1"/>
  <c r="M63" i="21" s="1"/>
  <c r="K64" i="21" s="1"/>
  <c r="M64" i="21" s="1"/>
  <c r="G116" i="21"/>
  <c r="F49" i="12"/>
  <c r="K47" i="26"/>
  <c r="M47" i="26" s="1"/>
  <c r="K48" i="26" s="1"/>
  <c r="M48" i="26" s="1"/>
  <c r="K49" i="26" s="1"/>
  <c r="M49" i="26" s="1"/>
  <c r="K50" i="26" s="1"/>
  <c r="M50" i="26" s="1"/>
  <c r="K51" i="26" s="1"/>
  <c r="M51" i="26" s="1"/>
  <c r="K52" i="26" s="1"/>
  <c r="M52" i="26" s="1"/>
  <c r="K53" i="26" s="1"/>
  <c r="M53" i="26" s="1"/>
  <c r="K54" i="26" s="1"/>
  <c r="M54" i="26" s="1"/>
  <c r="K55" i="26" s="1"/>
  <c r="M55" i="26" s="1"/>
  <c r="K56" i="26" s="1"/>
  <c r="M56" i="26" s="1"/>
  <c r="K57" i="26" s="1"/>
  <c r="M57" i="26" s="1"/>
  <c r="K58" i="26" s="1"/>
  <c r="M58" i="26" s="1"/>
  <c r="K59" i="26" s="1"/>
  <c r="M59" i="26" s="1"/>
  <c r="K60" i="26" s="1"/>
  <c r="M60" i="26" s="1"/>
  <c r="K61" i="26" s="1"/>
  <c r="M61" i="26" s="1"/>
  <c r="K62" i="26" s="1"/>
  <c r="M62" i="26" s="1"/>
  <c r="K63" i="26" s="1"/>
  <c r="M63" i="26" s="1"/>
  <c r="K64" i="26" s="1"/>
  <c r="M64" i="26" s="1"/>
  <c r="G116" i="26"/>
  <c r="O50" i="11"/>
  <c r="H33" i="5"/>
  <c r="E34" i="5" s="1"/>
  <c r="H32" i="14"/>
  <c r="E33" i="14" s="1"/>
  <c r="G33" i="14" s="1"/>
  <c r="G110" i="29"/>
  <c r="F37" i="14"/>
  <c r="F50" i="11"/>
  <c r="F37" i="24"/>
  <c r="F37" i="27"/>
  <c r="O37" i="27" s="1"/>
  <c r="P52" i="29"/>
  <c r="P53" i="29" s="1"/>
  <c r="P54" i="29" s="1"/>
  <c r="P55" i="29" s="1"/>
  <c r="P56" i="29" s="1"/>
  <c r="P57" i="29" s="1"/>
  <c r="P58" i="29" s="1"/>
  <c r="P59" i="29" s="1"/>
  <c r="P60" i="29" s="1"/>
  <c r="P61" i="29" s="1"/>
  <c r="P62" i="29" s="1"/>
  <c r="P63" i="29" s="1"/>
  <c r="P64" i="29" s="1"/>
  <c r="A28" i="29"/>
  <c r="H22" i="29" s="1"/>
  <c r="M22" i="29" s="1"/>
  <c r="O52" i="29"/>
  <c r="O53" i="29" s="1"/>
  <c r="O54" i="29" s="1"/>
  <c r="O55" i="29" s="1"/>
  <c r="O56" i="29" s="1"/>
  <c r="O57" i="29" s="1"/>
  <c r="O58" i="29" s="1"/>
  <c r="O59" i="29" s="1"/>
  <c r="O60" i="29" s="1"/>
  <c r="O61" i="29" s="1"/>
  <c r="O62" i="29" s="1"/>
  <c r="O63" i="29" s="1"/>
  <c r="O64" i="29" s="1"/>
  <c r="D40" i="29"/>
  <c r="J39" i="29"/>
  <c r="D41" i="28"/>
  <c r="J40" i="28"/>
  <c r="D41" i="27"/>
  <c r="J40" i="27"/>
  <c r="P32" i="27"/>
  <c r="J38" i="26"/>
  <c r="D39" i="26"/>
  <c r="D40" i="24"/>
  <c r="J39" i="24"/>
  <c r="G32" i="24"/>
  <c r="D41" i="23"/>
  <c r="J40" i="23"/>
  <c r="D39" i="22"/>
  <c r="J38" i="22"/>
  <c r="D40" i="21"/>
  <c r="J39" i="21"/>
  <c r="J38" i="20"/>
  <c r="D39" i="20"/>
  <c r="P32" i="13"/>
  <c r="D40" i="19"/>
  <c r="J39" i="19"/>
  <c r="D41" i="18"/>
  <c r="J40" i="18"/>
  <c r="D40" i="17"/>
  <c r="J39" i="17"/>
  <c r="J39" i="16"/>
  <c r="D40" i="16"/>
  <c r="D40" i="15"/>
  <c r="J39" i="15"/>
  <c r="P32" i="14"/>
  <c r="D41" i="14"/>
  <c r="J40" i="14"/>
  <c r="P32" i="12"/>
  <c r="H32" i="13"/>
  <c r="E33" i="13" s="1"/>
  <c r="G33" i="13" s="1"/>
  <c r="P32" i="9"/>
  <c r="D40" i="13"/>
  <c r="J39" i="13"/>
  <c r="D40" i="12"/>
  <c r="J39" i="12"/>
  <c r="H32" i="12"/>
  <c r="E33" i="12" s="1"/>
  <c r="D40" i="11"/>
  <c r="J39" i="11"/>
  <c r="P32" i="11"/>
  <c r="H32" i="11"/>
  <c r="E33" i="11" s="1"/>
  <c r="P32" i="10"/>
  <c r="D39" i="10"/>
  <c r="J38" i="10"/>
  <c r="G33" i="10"/>
  <c r="H33" i="10" s="1"/>
  <c r="E34" i="10" s="1"/>
  <c r="D40" i="9"/>
  <c r="J39" i="9"/>
  <c r="H32" i="9"/>
  <c r="E33" i="9" s="1"/>
  <c r="G33" i="8"/>
  <c r="P32" i="7"/>
  <c r="J39" i="7"/>
  <c r="D40" i="7"/>
  <c r="H32" i="7"/>
  <c r="E33" i="7" s="1"/>
  <c r="D40" i="6"/>
  <c r="J40" i="6" s="1"/>
  <c r="J39" i="6"/>
  <c r="H32" i="6"/>
  <c r="E33" i="6" s="1"/>
  <c r="G34" i="5"/>
  <c r="P33" i="5"/>
  <c r="D40" i="5"/>
  <c r="J39" i="5"/>
  <c r="P32" i="4"/>
  <c r="D45" i="4"/>
  <c r="J44" i="4"/>
  <c r="H32" i="4"/>
  <c r="E33" i="4" s="1"/>
  <c r="H33" i="14" l="1"/>
  <c r="E34" i="14" s="1"/>
  <c r="H33" i="27"/>
  <c r="E34" i="27" s="1"/>
  <c r="H34" i="5"/>
  <c r="E35" i="5" s="1"/>
  <c r="F38" i="24"/>
  <c r="F38" i="4"/>
  <c r="F51" i="11"/>
  <c r="F50" i="12"/>
  <c r="O49" i="12"/>
  <c r="F38" i="14"/>
  <c r="O51" i="11"/>
  <c r="O38" i="4"/>
  <c r="O37" i="14"/>
  <c r="F38" i="27"/>
  <c r="O37" i="24"/>
  <c r="P33" i="8"/>
  <c r="E29" i="29"/>
  <c r="L55" i="29"/>
  <c r="L32" i="29"/>
  <c r="L58" i="29"/>
  <c r="L61" i="29"/>
  <c r="L29" i="29"/>
  <c r="L62" i="29"/>
  <c r="L47" i="29"/>
  <c r="L57" i="29"/>
  <c r="L50" i="29"/>
  <c r="L37" i="29"/>
  <c r="L45" i="29"/>
  <c r="L43" i="29"/>
  <c r="L35" i="29"/>
  <c r="L54" i="29"/>
  <c r="L39" i="29"/>
  <c r="L49" i="29"/>
  <c r="L42" i="29"/>
  <c r="L60" i="29"/>
  <c r="L46" i="29"/>
  <c r="L31" i="29"/>
  <c r="L41" i="29"/>
  <c r="L34" i="29"/>
  <c r="L52" i="29"/>
  <c r="L48" i="29"/>
  <c r="L63" i="29"/>
  <c r="L38" i="29"/>
  <c r="L64" i="29"/>
  <c r="L33" i="29"/>
  <c r="L59" i="29"/>
  <c r="L44" i="29"/>
  <c r="K29" i="29"/>
  <c r="L40" i="29"/>
  <c r="L30" i="29"/>
  <c r="L56" i="29"/>
  <c r="L53" i="29"/>
  <c r="L51" i="29"/>
  <c r="L36" i="29"/>
  <c r="E110" i="29"/>
  <c r="D41" i="29"/>
  <c r="J40" i="29"/>
  <c r="D42" i="28"/>
  <c r="J41" i="28"/>
  <c r="G34" i="27"/>
  <c r="P33" i="27"/>
  <c r="D42" i="27"/>
  <c r="J41" i="27"/>
  <c r="D40" i="26"/>
  <c r="J39" i="26"/>
  <c r="P32" i="24"/>
  <c r="H32" i="24"/>
  <c r="E33" i="24" s="1"/>
  <c r="D41" i="24"/>
  <c r="J40" i="24"/>
  <c r="D42" i="23"/>
  <c r="J41" i="23"/>
  <c r="D40" i="22"/>
  <c r="J39" i="22"/>
  <c r="D41" i="21"/>
  <c r="J40" i="21"/>
  <c r="D40" i="20"/>
  <c r="J39" i="20"/>
  <c r="D41" i="19"/>
  <c r="J40" i="19"/>
  <c r="D42" i="18"/>
  <c r="J41" i="18"/>
  <c r="D41" i="17"/>
  <c r="J40" i="17"/>
  <c r="D41" i="16"/>
  <c r="J40" i="16"/>
  <c r="P32" i="15"/>
  <c r="H32" i="15"/>
  <c r="E33" i="15" s="1"/>
  <c r="D41" i="15"/>
  <c r="J40" i="15"/>
  <c r="G34" i="14"/>
  <c r="D42" i="14"/>
  <c r="J41" i="14"/>
  <c r="P33" i="14"/>
  <c r="H33" i="13"/>
  <c r="E34" i="13" s="1"/>
  <c r="G34" i="13" s="1"/>
  <c r="H34" i="13" s="1"/>
  <c r="E35" i="13" s="1"/>
  <c r="P33" i="13"/>
  <c r="D41" i="13"/>
  <c r="J40" i="13"/>
  <c r="G33" i="12"/>
  <c r="P33" i="12" s="1"/>
  <c r="D41" i="12"/>
  <c r="J40" i="12"/>
  <c r="G33" i="11"/>
  <c r="H33" i="11" s="1"/>
  <c r="E34" i="11" s="1"/>
  <c r="D41" i="11"/>
  <c r="J40" i="11"/>
  <c r="P33" i="10"/>
  <c r="G34" i="10"/>
  <c r="H34" i="10" s="1"/>
  <c r="E35" i="10" s="1"/>
  <c r="J39" i="10"/>
  <c r="D40" i="10"/>
  <c r="G33" i="9"/>
  <c r="P33" i="9" s="1"/>
  <c r="D41" i="9"/>
  <c r="J40" i="9"/>
  <c r="H33" i="8"/>
  <c r="E34" i="8" s="1"/>
  <c r="G33" i="7"/>
  <c r="P33" i="7" s="1"/>
  <c r="D41" i="7"/>
  <c r="J40" i="7"/>
  <c r="G33" i="6"/>
  <c r="P33" i="6" s="1"/>
  <c r="G35" i="5"/>
  <c r="J40" i="5"/>
  <c r="P34" i="5"/>
  <c r="G33" i="4"/>
  <c r="D46" i="4"/>
  <c r="J45" i="4"/>
  <c r="G28" i="33" a="1"/>
  <c r="K28" i="33" a="1"/>
  <c r="F28" i="33" a="1"/>
  <c r="F28" i="33" l="1"/>
  <c r="K28" i="33"/>
  <c r="G28" i="33"/>
  <c r="H34" i="27"/>
  <c r="E35" i="27" s="1"/>
  <c r="F116" i="29"/>
  <c r="F51" i="12"/>
  <c r="F39" i="24"/>
  <c r="O38" i="24"/>
  <c r="F52" i="11"/>
  <c r="H35" i="5"/>
  <c r="E36" i="5" s="1"/>
  <c r="H34" i="14"/>
  <c r="E35" i="14" s="1"/>
  <c r="G35" i="14" s="1"/>
  <c r="Q29" i="29"/>
  <c r="F39" i="27"/>
  <c r="F39" i="14"/>
  <c r="F39" i="4"/>
  <c r="O38" i="27"/>
  <c r="H29" i="29"/>
  <c r="E30" i="29" s="1"/>
  <c r="H30" i="29" s="1"/>
  <c r="E31" i="29" s="1"/>
  <c r="H31" i="29" s="1"/>
  <c r="E32" i="29" s="1"/>
  <c r="H32" i="29" s="1"/>
  <c r="E33" i="29" s="1"/>
  <c r="H33" i="29" s="1"/>
  <c r="E34" i="29" s="1"/>
  <c r="H34" i="29" s="1"/>
  <c r="E35" i="29" s="1"/>
  <c r="H35" i="29" s="1"/>
  <c r="E36" i="29" s="1"/>
  <c r="H36" i="29" s="1"/>
  <c r="E37" i="29" s="1"/>
  <c r="H37" i="29" s="1"/>
  <c r="E38" i="29" s="1"/>
  <c r="H38" i="29" s="1"/>
  <c r="E39" i="29" s="1"/>
  <c r="H39" i="29" s="1"/>
  <c r="E40" i="29" s="1"/>
  <c r="H40" i="29" s="1"/>
  <c r="E41" i="29" s="1"/>
  <c r="H41" i="29" s="1"/>
  <c r="E42" i="29" s="1"/>
  <c r="H42" i="29" s="1"/>
  <c r="E43" i="29" s="1"/>
  <c r="H43" i="29" s="1"/>
  <c r="E44" i="29" s="1"/>
  <c r="H44" i="29" s="1"/>
  <c r="E45" i="29" s="1"/>
  <c r="H45" i="29" s="1"/>
  <c r="E46" i="29" s="1"/>
  <c r="H46" i="29" s="1"/>
  <c r="E47" i="29" s="1"/>
  <c r="H47" i="29" s="1"/>
  <c r="E48" i="29" s="1"/>
  <c r="H48" i="29" s="1"/>
  <c r="E49" i="29" s="1"/>
  <c r="H49" i="29" s="1"/>
  <c r="E50" i="29" s="1"/>
  <c r="H50" i="29" s="1"/>
  <c r="E51" i="29" s="1"/>
  <c r="H51" i="29" s="1"/>
  <c r="E52" i="29" s="1"/>
  <c r="H52" i="29" s="1"/>
  <c r="E53" i="29" s="1"/>
  <c r="H53" i="29" s="1"/>
  <c r="E54" i="29" s="1"/>
  <c r="H54" i="29" s="1"/>
  <c r="E55" i="29" s="1"/>
  <c r="H55" i="29" s="1"/>
  <c r="E56" i="29" s="1"/>
  <c r="H56" i="29" s="1"/>
  <c r="E57" i="29" s="1"/>
  <c r="H57" i="29" s="1"/>
  <c r="E58" i="29" s="1"/>
  <c r="H58" i="29" s="1"/>
  <c r="E59" i="29" s="1"/>
  <c r="H59" i="29" s="1"/>
  <c r="E60" i="29" s="1"/>
  <c r="H60" i="29" s="1"/>
  <c r="E61" i="29" s="1"/>
  <c r="H61" i="29" s="1"/>
  <c r="E62" i="29" s="1"/>
  <c r="H62" i="29" s="1"/>
  <c r="E63" i="29" s="1"/>
  <c r="H63" i="29" s="1"/>
  <c r="E64" i="29" s="1"/>
  <c r="H64" i="29" s="1"/>
  <c r="O38" i="14"/>
  <c r="O39" i="14" s="1"/>
  <c r="O50" i="12"/>
  <c r="M29" i="29"/>
  <c r="K30" i="29" s="1"/>
  <c r="M30" i="29" s="1"/>
  <c r="K31" i="29" s="1"/>
  <c r="M31" i="29" s="1"/>
  <c r="K32" i="29" s="1"/>
  <c r="M32" i="29" s="1"/>
  <c r="K33" i="29" s="1"/>
  <c r="M33" i="29" s="1"/>
  <c r="Q30" i="29"/>
  <c r="Q31" i="29" s="1"/>
  <c r="Q32" i="29" s="1"/>
  <c r="Q33" i="29" s="1"/>
  <c r="Q34" i="29" s="1"/>
  <c r="Q35" i="29" s="1"/>
  <c r="Q36" i="29" s="1"/>
  <c r="Q37" i="29" s="1"/>
  <c r="Q38" i="29" s="1"/>
  <c r="Q39" i="29" s="1"/>
  <c r="Q40" i="29" s="1"/>
  <c r="Q41" i="29" s="1"/>
  <c r="Q42" i="29" s="1"/>
  <c r="Q43" i="29" s="1"/>
  <c r="Q44" i="29" s="1"/>
  <c r="Q45" i="29" s="1"/>
  <c r="Q46" i="29" s="1"/>
  <c r="Q47" i="29" s="1"/>
  <c r="Q48" i="29" s="1"/>
  <c r="Q49" i="29" s="1"/>
  <c r="Q50" i="29" s="1"/>
  <c r="Q51" i="29" s="1"/>
  <c r="Q52" i="29" s="1"/>
  <c r="Q53" i="29" s="1"/>
  <c r="Q54" i="29" s="1"/>
  <c r="Q55" i="29" s="1"/>
  <c r="Q56" i="29" s="1"/>
  <c r="Q57" i="29" s="1"/>
  <c r="Q58" i="29" s="1"/>
  <c r="Q59" i="29" s="1"/>
  <c r="Q60" i="29" s="1"/>
  <c r="Q61" i="29" s="1"/>
  <c r="Q62" i="29" s="1"/>
  <c r="Q63" i="29" s="1"/>
  <c r="Q64" i="29" s="1"/>
  <c r="D42" i="29"/>
  <c r="J41" i="29"/>
  <c r="J42" i="28"/>
  <c r="D43" i="28"/>
  <c r="G35" i="27"/>
  <c r="D43" i="27"/>
  <c r="J42" i="27"/>
  <c r="P34" i="27"/>
  <c r="D41" i="26"/>
  <c r="J40" i="26"/>
  <c r="D42" i="24"/>
  <c r="J41" i="24"/>
  <c r="G33" i="24"/>
  <c r="J42" i="23"/>
  <c r="D43" i="23"/>
  <c r="D41" i="22"/>
  <c r="J40" i="22"/>
  <c r="D42" i="21"/>
  <c r="J41" i="21"/>
  <c r="D41" i="20"/>
  <c r="J40" i="20"/>
  <c r="D42" i="19"/>
  <c r="J41" i="19"/>
  <c r="J42" i="18"/>
  <c r="D43" i="18"/>
  <c r="D42" i="17"/>
  <c r="J41" i="17"/>
  <c r="D42" i="16"/>
  <c r="J41" i="16"/>
  <c r="D42" i="15"/>
  <c r="J41" i="15"/>
  <c r="H33" i="15"/>
  <c r="E34" i="15" s="1"/>
  <c r="P34" i="14"/>
  <c r="D43" i="14"/>
  <c r="J42" i="14"/>
  <c r="G35" i="13"/>
  <c r="H35" i="13" s="1"/>
  <c r="E36" i="13" s="1"/>
  <c r="D42" i="13"/>
  <c r="J41" i="13"/>
  <c r="P34" i="13"/>
  <c r="D42" i="12"/>
  <c r="J41" i="12"/>
  <c r="H33" i="12"/>
  <c r="E34" i="12" s="1"/>
  <c r="G34" i="11"/>
  <c r="H34" i="11" s="1"/>
  <c r="E35" i="11" s="1"/>
  <c r="D42" i="11"/>
  <c r="J41" i="11"/>
  <c r="P33" i="11"/>
  <c r="P34" i="10"/>
  <c r="G35" i="10"/>
  <c r="H35" i="10" s="1"/>
  <c r="E36" i="10" s="1"/>
  <c r="D41" i="10"/>
  <c r="J40" i="10"/>
  <c r="D42" i="9"/>
  <c r="J41" i="9"/>
  <c r="H33" i="9"/>
  <c r="E34" i="9" s="1"/>
  <c r="G34" i="8"/>
  <c r="H33" i="7"/>
  <c r="E34" i="7" s="1"/>
  <c r="D42" i="7"/>
  <c r="J41" i="7"/>
  <c r="H33" i="6"/>
  <c r="E34" i="6" s="1"/>
  <c r="G36" i="5"/>
  <c r="P35" i="5"/>
  <c r="D47" i="4"/>
  <c r="J46" i="4"/>
  <c r="H33" i="4"/>
  <c r="E34" i="4" s="1"/>
  <c r="P33" i="4"/>
  <c r="O39" i="27" l="1"/>
  <c r="O39" i="24"/>
  <c r="H35" i="14"/>
  <c r="E36" i="14" s="1"/>
  <c r="G36" i="14" s="1"/>
  <c r="F40" i="14"/>
  <c r="O40" i="14" s="1"/>
  <c r="K34" i="29"/>
  <c r="M34" i="29" s="1"/>
  <c r="K35" i="29" s="1"/>
  <c r="M35" i="29" s="1"/>
  <c r="K36" i="29" s="1"/>
  <c r="M36" i="29" s="1"/>
  <c r="K37" i="29" s="1"/>
  <c r="M37" i="29" s="1"/>
  <c r="K38" i="29" s="1"/>
  <c r="M38" i="29" s="1"/>
  <c r="K39" i="29" s="1"/>
  <c r="M39" i="29" s="1"/>
  <c r="K40" i="29" s="1"/>
  <c r="M40" i="29" s="1"/>
  <c r="K41" i="29" s="1"/>
  <c r="M41" i="29" s="1"/>
  <c r="K42" i="29" s="1"/>
  <c r="M42" i="29" s="1"/>
  <c r="K43" i="29" s="1"/>
  <c r="M43" i="29" s="1"/>
  <c r="K44" i="29" s="1"/>
  <c r="M44" i="29" s="1"/>
  <c r="K45" i="29" s="1"/>
  <c r="M45" i="29" s="1"/>
  <c r="K46" i="29" s="1"/>
  <c r="M46" i="29" s="1"/>
  <c r="K47" i="29" s="1"/>
  <c r="M47" i="29" s="1"/>
  <c r="K48" i="29" s="1"/>
  <c r="M48" i="29" s="1"/>
  <c r="K49" i="29" s="1"/>
  <c r="M49" i="29" s="1"/>
  <c r="K50" i="29" s="1"/>
  <c r="M50" i="29" s="1"/>
  <c r="K51" i="29" s="1"/>
  <c r="M51" i="29" s="1"/>
  <c r="K52" i="29" s="1"/>
  <c r="M52" i="29" s="1"/>
  <c r="K53" i="29" s="1"/>
  <c r="M53" i="29" s="1"/>
  <c r="K54" i="29" s="1"/>
  <c r="M54" i="29" s="1"/>
  <c r="K55" i="29" s="1"/>
  <c r="M55" i="29" s="1"/>
  <c r="K56" i="29" s="1"/>
  <c r="M56" i="29" s="1"/>
  <c r="K57" i="29" s="1"/>
  <c r="M57" i="29" s="1"/>
  <c r="K58" i="29" s="1"/>
  <c r="M58" i="29" s="1"/>
  <c r="K59" i="29" s="1"/>
  <c r="M59" i="29" s="1"/>
  <c r="K60" i="29" s="1"/>
  <c r="M60" i="29" s="1"/>
  <c r="K61" i="29" s="1"/>
  <c r="M61" i="29" s="1"/>
  <c r="K62" i="29" s="1"/>
  <c r="M62" i="29" s="1"/>
  <c r="K63" i="29" s="1"/>
  <c r="M63" i="29" s="1"/>
  <c r="K64" i="29" s="1"/>
  <c r="M64" i="29" s="1"/>
  <c r="G116" i="29"/>
  <c r="F40" i="24"/>
  <c r="O40" i="24" s="1"/>
  <c r="H36" i="5"/>
  <c r="E37" i="5" s="1"/>
  <c r="F40" i="27"/>
  <c r="F53" i="11"/>
  <c r="F52" i="12"/>
  <c r="P33" i="24"/>
  <c r="H35" i="27"/>
  <c r="E36" i="27" s="1"/>
  <c r="G36" i="27" s="1"/>
  <c r="O51" i="12"/>
  <c r="F40" i="4"/>
  <c r="O52" i="11"/>
  <c r="O39" i="4"/>
  <c r="O40" i="4" s="1"/>
  <c r="P34" i="8"/>
  <c r="D43" i="29"/>
  <c r="J42" i="29"/>
  <c r="D44" i="28"/>
  <c r="J43" i="28"/>
  <c r="P35" i="27"/>
  <c r="D44" i="27"/>
  <c r="J43" i="27"/>
  <c r="J41" i="26"/>
  <c r="D42" i="26"/>
  <c r="H33" i="24"/>
  <c r="E34" i="24" s="1"/>
  <c r="D43" i="24"/>
  <c r="J42" i="24"/>
  <c r="D44" i="23"/>
  <c r="J43" i="23"/>
  <c r="D42" i="22"/>
  <c r="J41" i="22"/>
  <c r="J42" i="21"/>
  <c r="D43" i="21"/>
  <c r="J41" i="20"/>
  <c r="D42" i="20"/>
  <c r="J42" i="19"/>
  <c r="D43" i="19"/>
  <c r="D44" i="18"/>
  <c r="J43" i="18"/>
  <c r="J42" i="17"/>
  <c r="D43" i="17"/>
  <c r="J42" i="16"/>
  <c r="D43" i="16"/>
  <c r="H34" i="15"/>
  <c r="E35" i="15" s="1"/>
  <c r="D43" i="15"/>
  <c r="J42" i="15"/>
  <c r="P33" i="15"/>
  <c r="D44" i="14"/>
  <c r="J43" i="14"/>
  <c r="P35" i="14"/>
  <c r="P35" i="13"/>
  <c r="G36" i="13"/>
  <c r="H36" i="13" s="1"/>
  <c r="E37" i="13" s="1"/>
  <c r="D43" i="13"/>
  <c r="J42" i="13"/>
  <c r="J42" i="12"/>
  <c r="D43" i="12"/>
  <c r="G34" i="12"/>
  <c r="P34" i="12" s="1"/>
  <c r="P34" i="11"/>
  <c r="P35" i="10"/>
  <c r="G35" i="11"/>
  <c r="D43" i="11"/>
  <c r="J42" i="11"/>
  <c r="G36" i="10"/>
  <c r="H36" i="10" s="1"/>
  <c r="E37" i="10" s="1"/>
  <c r="D42" i="10"/>
  <c r="J41" i="10"/>
  <c r="G34" i="9"/>
  <c r="P34" i="9" s="1"/>
  <c r="D43" i="9"/>
  <c r="J42" i="9"/>
  <c r="H34" i="8"/>
  <c r="E35" i="8" s="1"/>
  <c r="G34" i="7"/>
  <c r="P34" i="7" s="1"/>
  <c r="D43" i="7"/>
  <c r="J42" i="7"/>
  <c r="G34" i="6"/>
  <c r="P34" i="6" s="1"/>
  <c r="P36" i="5"/>
  <c r="G37" i="5"/>
  <c r="G34" i="4"/>
  <c r="J47" i="4"/>
  <c r="D48" i="4"/>
  <c r="I14" i="33" a="1"/>
  <c r="O53" i="11" l="1"/>
  <c r="I14" i="33"/>
  <c r="H36" i="27"/>
  <c r="E37" i="27" s="1"/>
  <c r="F41" i="27"/>
  <c r="F41" i="4"/>
  <c r="F53" i="12"/>
  <c r="O41" i="24"/>
  <c r="O52" i="12"/>
  <c r="O53" i="12" s="1"/>
  <c r="F54" i="11"/>
  <c r="F41" i="24"/>
  <c r="F41" i="14"/>
  <c r="O41" i="14" s="1"/>
  <c r="P34" i="4"/>
  <c r="H37" i="5"/>
  <c r="E38" i="5" s="1"/>
  <c r="H36" i="14"/>
  <c r="E37" i="14" s="1"/>
  <c r="O40" i="27"/>
  <c r="O41" i="27" s="1"/>
  <c r="J43" i="29"/>
  <c r="D44" i="29"/>
  <c r="D45" i="28"/>
  <c r="J44" i="28"/>
  <c r="P36" i="27"/>
  <c r="G37" i="27"/>
  <c r="D45" i="27"/>
  <c r="J44" i="27"/>
  <c r="J42" i="26"/>
  <c r="D43" i="26"/>
  <c r="D44" i="24"/>
  <c r="J43" i="24"/>
  <c r="G34" i="24"/>
  <c r="D45" i="23"/>
  <c r="J44" i="23"/>
  <c r="D43" i="22"/>
  <c r="J42" i="22"/>
  <c r="D44" i="21"/>
  <c r="J43" i="21"/>
  <c r="J42" i="20"/>
  <c r="D43" i="20"/>
  <c r="D44" i="19"/>
  <c r="J43" i="19"/>
  <c r="D45" i="18"/>
  <c r="J44" i="18"/>
  <c r="D44" i="17"/>
  <c r="J43" i="17"/>
  <c r="D44" i="16"/>
  <c r="J43" i="16"/>
  <c r="P34" i="15"/>
  <c r="H35" i="15"/>
  <c r="E36" i="15" s="1"/>
  <c r="D44" i="15"/>
  <c r="J43" i="15"/>
  <c r="G37" i="14"/>
  <c r="P36" i="14"/>
  <c r="D45" i="14"/>
  <c r="J44" i="14"/>
  <c r="G37" i="13"/>
  <c r="H37" i="13" s="1"/>
  <c r="E38" i="13" s="1"/>
  <c r="D44" i="13"/>
  <c r="J43" i="13"/>
  <c r="P36" i="13"/>
  <c r="H34" i="12"/>
  <c r="E35" i="12" s="1"/>
  <c r="G35" i="12" s="1"/>
  <c r="H35" i="12" s="1"/>
  <c r="E36" i="12" s="1"/>
  <c r="D44" i="12"/>
  <c r="J43" i="12"/>
  <c r="P35" i="11"/>
  <c r="H35" i="11"/>
  <c r="E36" i="11" s="1"/>
  <c r="G36" i="11" s="1"/>
  <c r="H36" i="11" s="1"/>
  <c r="E37" i="11" s="1"/>
  <c r="D44" i="11"/>
  <c r="J43" i="11"/>
  <c r="P36" i="10"/>
  <c r="G37" i="10"/>
  <c r="D43" i="10"/>
  <c r="J42" i="10"/>
  <c r="D44" i="9"/>
  <c r="J43" i="9"/>
  <c r="H34" i="9"/>
  <c r="E35" i="9" s="1"/>
  <c r="G35" i="8"/>
  <c r="D44" i="7"/>
  <c r="J43" i="7"/>
  <c r="H34" i="7"/>
  <c r="E35" i="7" s="1"/>
  <c r="H34" i="6"/>
  <c r="E35" i="6" s="1"/>
  <c r="G35" i="6" s="1"/>
  <c r="H35" i="6" s="1"/>
  <c r="E36" i="6" s="1"/>
  <c r="P37" i="5"/>
  <c r="G38" i="5"/>
  <c r="J48" i="4"/>
  <c r="D49" i="4"/>
  <c r="H34" i="4"/>
  <c r="E35" i="4" s="1"/>
  <c r="I12" i="33" a="1"/>
  <c r="I11" i="33" a="1"/>
  <c r="I11" i="33" l="1"/>
  <c r="I12" i="33"/>
  <c r="O42" i="14"/>
  <c r="F55" i="11"/>
  <c r="F42" i="4"/>
  <c r="O54" i="11"/>
  <c r="F42" i="27"/>
  <c r="H38" i="5"/>
  <c r="E39" i="5" s="1"/>
  <c r="H37" i="14"/>
  <c r="E38" i="14" s="1"/>
  <c r="F42" i="14"/>
  <c r="O42" i="24"/>
  <c r="O41" i="4"/>
  <c r="P34" i="24"/>
  <c r="F42" i="24"/>
  <c r="F54" i="12"/>
  <c r="P35" i="8"/>
  <c r="P37" i="27"/>
  <c r="J44" i="29"/>
  <c r="D45" i="29"/>
  <c r="D46" i="28"/>
  <c r="J45" i="28"/>
  <c r="H37" i="27"/>
  <c r="E38" i="27" s="1"/>
  <c r="G38" i="27" s="1"/>
  <c r="D46" i="27"/>
  <c r="J45" i="27"/>
  <c r="D44" i="26"/>
  <c r="J43" i="26"/>
  <c r="H34" i="24"/>
  <c r="E35" i="24" s="1"/>
  <c r="D45" i="24"/>
  <c r="J44" i="24"/>
  <c r="J45" i="23"/>
  <c r="D46" i="23"/>
  <c r="D44" i="22"/>
  <c r="J43" i="22"/>
  <c r="D45" i="21"/>
  <c r="J44" i="21"/>
  <c r="D44" i="20"/>
  <c r="J43" i="20"/>
  <c r="D45" i="19"/>
  <c r="J44" i="19"/>
  <c r="D46" i="18"/>
  <c r="J45" i="18"/>
  <c r="D45" i="17"/>
  <c r="J44" i="17"/>
  <c r="D45" i="16"/>
  <c r="J44" i="16"/>
  <c r="P35" i="15"/>
  <c r="D45" i="15"/>
  <c r="J44" i="15"/>
  <c r="G38" i="14"/>
  <c r="D46" i="14"/>
  <c r="J45" i="14"/>
  <c r="P37" i="14"/>
  <c r="P37" i="13"/>
  <c r="G38" i="13"/>
  <c r="H38" i="13" s="1"/>
  <c r="E39" i="13" s="1"/>
  <c r="D45" i="13"/>
  <c r="J44" i="13"/>
  <c r="P35" i="12"/>
  <c r="G36" i="12"/>
  <c r="H36" i="12" s="1"/>
  <c r="E37" i="12" s="1"/>
  <c r="D45" i="12"/>
  <c r="J44" i="12"/>
  <c r="P36" i="11"/>
  <c r="G37" i="11"/>
  <c r="H37" i="11" s="1"/>
  <c r="E38" i="11" s="1"/>
  <c r="D45" i="11"/>
  <c r="J44" i="11"/>
  <c r="P37" i="10"/>
  <c r="H37" i="10"/>
  <c r="E38" i="10" s="1"/>
  <c r="D44" i="10"/>
  <c r="J43" i="10"/>
  <c r="G35" i="9"/>
  <c r="P35" i="9" s="1"/>
  <c r="D45" i="9"/>
  <c r="J44" i="9"/>
  <c r="H35" i="8"/>
  <c r="E36" i="8" s="1"/>
  <c r="G35" i="7"/>
  <c r="P35" i="7" s="1"/>
  <c r="D45" i="7"/>
  <c r="J44" i="7"/>
  <c r="P35" i="6"/>
  <c r="G36" i="6"/>
  <c r="H36" i="6" s="1"/>
  <c r="E37" i="6" s="1"/>
  <c r="G39" i="5"/>
  <c r="P38" i="5"/>
  <c r="G35" i="4"/>
  <c r="J49" i="4"/>
  <c r="D50" i="4"/>
  <c r="G129" i="24"/>
  <c r="G129" i="27"/>
  <c r="O42" i="4" l="1"/>
  <c r="F55" i="12"/>
  <c r="F43" i="27"/>
  <c r="F56" i="11"/>
  <c r="H39" i="5"/>
  <c r="E40" i="5" s="1"/>
  <c r="G40" i="5" s="1"/>
  <c r="P38" i="27"/>
  <c r="F43" i="24"/>
  <c r="F43" i="14"/>
  <c r="O54" i="12"/>
  <c r="O55" i="12" s="1"/>
  <c r="O42" i="27"/>
  <c r="H38" i="14"/>
  <c r="E39" i="14" s="1"/>
  <c r="O55" i="11"/>
  <c r="O56" i="11" s="1"/>
  <c r="O43" i="14"/>
  <c r="P35" i="4"/>
  <c r="O43" i="4"/>
  <c r="F43" i="4"/>
  <c r="J45" i="29"/>
  <c r="D46" i="29"/>
  <c r="J46" i="28"/>
  <c r="D47" i="28"/>
  <c r="H38" i="27"/>
  <c r="E39" i="27" s="1"/>
  <c r="G39" i="27" s="1"/>
  <c r="J46" i="27"/>
  <c r="D47" i="27"/>
  <c r="D45" i="26"/>
  <c r="J44" i="26"/>
  <c r="D46" i="24"/>
  <c r="J45" i="24"/>
  <c r="G35" i="24"/>
  <c r="J46" i="23"/>
  <c r="D47" i="23"/>
  <c r="J44" i="22"/>
  <c r="D45" i="22"/>
  <c r="D46" i="21"/>
  <c r="J45" i="21"/>
  <c r="D45" i="20"/>
  <c r="J44" i="20"/>
  <c r="D46" i="19"/>
  <c r="J45" i="19"/>
  <c r="J46" i="18"/>
  <c r="D47" i="18"/>
  <c r="D46" i="17"/>
  <c r="J45" i="17"/>
  <c r="D46" i="16"/>
  <c r="J45" i="16"/>
  <c r="P36" i="15"/>
  <c r="H36" i="15"/>
  <c r="E37" i="15" s="1"/>
  <c r="D46" i="15"/>
  <c r="J45" i="15"/>
  <c r="G39" i="14"/>
  <c r="P38" i="14"/>
  <c r="D47" i="14"/>
  <c r="J46" i="14"/>
  <c r="P38" i="13"/>
  <c r="G39" i="13"/>
  <c r="D46" i="13"/>
  <c r="J45" i="13"/>
  <c r="P36" i="12"/>
  <c r="G37" i="12"/>
  <c r="H37" i="12" s="1"/>
  <c r="E38" i="12" s="1"/>
  <c r="D46" i="12"/>
  <c r="J45" i="12"/>
  <c r="G38" i="11"/>
  <c r="H38" i="11" s="1"/>
  <c r="E39" i="11" s="1"/>
  <c r="D46" i="11"/>
  <c r="J45" i="11"/>
  <c r="P37" i="11"/>
  <c r="G38" i="10"/>
  <c r="P38" i="10" s="1"/>
  <c r="J44" i="10"/>
  <c r="D45" i="10"/>
  <c r="D46" i="9"/>
  <c r="J45" i="9"/>
  <c r="H35" i="9"/>
  <c r="E36" i="9" s="1"/>
  <c r="G36" i="8"/>
  <c r="H35" i="7"/>
  <c r="E36" i="7" s="1"/>
  <c r="G36" i="7" s="1"/>
  <c r="H36" i="7" s="1"/>
  <c r="E37" i="7" s="1"/>
  <c r="D46" i="7"/>
  <c r="J45" i="7"/>
  <c r="P36" i="6"/>
  <c r="G37" i="6"/>
  <c r="H37" i="6" s="1"/>
  <c r="E38" i="6" s="1"/>
  <c r="P39" i="5"/>
  <c r="J50" i="4"/>
  <c r="D51" i="4"/>
  <c r="H35" i="4"/>
  <c r="E36" i="4" s="1"/>
  <c r="G129" i="4"/>
  <c r="F119" i="5"/>
  <c r="H6" i="33" a="1"/>
  <c r="J6" i="33" a="1"/>
  <c r="J6" i="33" l="1"/>
  <c r="H6" i="33"/>
  <c r="H40" i="5"/>
  <c r="H39" i="14"/>
  <c r="E40" i="14" s="1"/>
  <c r="H39" i="27"/>
  <c r="E40" i="27" s="1"/>
  <c r="F56" i="12"/>
  <c r="O56" i="12" s="1"/>
  <c r="P35" i="24"/>
  <c r="F44" i="4"/>
  <c r="O44" i="4" s="1"/>
  <c r="F44" i="14"/>
  <c r="F57" i="11"/>
  <c r="F44" i="24"/>
  <c r="F44" i="27"/>
  <c r="O43" i="27"/>
  <c r="O44" i="27" s="1"/>
  <c r="O43" i="24"/>
  <c r="P36" i="8"/>
  <c r="D47" i="29"/>
  <c r="J46" i="29"/>
  <c r="D48" i="28"/>
  <c r="J47" i="28"/>
  <c r="P39" i="27"/>
  <c r="G40" i="27"/>
  <c r="D48" i="27"/>
  <c r="J47" i="27"/>
  <c r="J45" i="26"/>
  <c r="D46" i="26"/>
  <c r="H35" i="24"/>
  <c r="E36" i="24" s="1"/>
  <c r="D47" i="24"/>
  <c r="J46" i="24"/>
  <c r="D48" i="23"/>
  <c r="J47" i="23"/>
  <c r="J45" i="22"/>
  <c r="D46" i="22"/>
  <c r="J46" i="21"/>
  <c r="D47" i="21"/>
  <c r="D46" i="20"/>
  <c r="J45" i="20"/>
  <c r="J46" i="19"/>
  <c r="D47" i="19"/>
  <c r="D48" i="18"/>
  <c r="J47" i="18"/>
  <c r="J46" i="17"/>
  <c r="D47" i="17"/>
  <c r="J46" i="16"/>
  <c r="D47" i="16"/>
  <c r="P39" i="13"/>
  <c r="D47" i="15"/>
  <c r="J46" i="15"/>
  <c r="P37" i="15"/>
  <c r="G40" i="14"/>
  <c r="D48" i="14"/>
  <c r="J47" i="14"/>
  <c r="P39" i="14"/>
  <c r="H39" i="13"/>
  <c r="E40" i="13" s="1"/>
  <c r="D47" i="13"/>
  <c r="J46" i="13"/>
  <c r="G38" i="12"/>
  <c r="H38" i="12" s="1"/>
  <c r="E39" i="12" s="1"/>
  <c r="P37" i="12"/>
  <c r="D47" i="12"/>
  <c r="J46" i="12"/>
  <c r="G39" i="11"/>
  <c r="H39" i="11" s="1"/>
  <c r="E40" i="11" s="1"/>
  <c r="P38" i="11"/>
  <c r="D47" i="11"/>
  <c r="J46" i="11"/>
  <c r="J45" i="10"/>
  <c r="D46" i="10"/>
  <c r="H38" i="10"/>
  <c r="E39" i="10" s="1"/>
  <c r="G36" i="9"/>
  <c r="P36" i="9" s="1"/>
  <c r="J46" i="9"/>
  <c r="D47" i="9"/>
  <c r="H36" i="8"/>
  <c r="E37" i="8" s="1"/>
  <c r="P36" i="7"/>
  <c r="G37" i="7"/>
  <c r="H37" i="7" s="1"/>
  <c r="E38" i="7" s="1"/>
  <c r="D47" i="7"/>
  <c r="J46" i="7"/>
  <c r="P37" i="6"/>
  <c r="G38" i="6"/>
  <c r="H38" i="6" s="1"/>
  <c r="E39" i="6" s="1"/>
  <c r="P40" i="5"/>
  <c r="J51" i="4"/>
  <c r="D52" i="4"/>
  <c r="G36" i="4"/>
  <c r="J14" i="33" a="1"/>
  <c r="H14" i="33" a="1"/>
  <c r="F119" i="14"/>
  <c r="H14" i="33" l="1"/>
  <c r="J14" i="33"/>
  <c r="H40" i="27"/>
  <c r="E41" i="27" s="1"/>
  <c r="G41" i="27" s="1"/>
  <c r="F58" i="11"/>
  <c r="P36" i="4"/>
  <c r="F45" i="27"/>
  <c r="F45" i="14"/>
  <c r="F57" i="12"/>
  <c r="H40" i="14"/>
  <c r="E41" i="14" s="1"/>
  <c r="G41" i="14" s="1"/>
  <c r="O45" i="27"/>
  <c r="F45" i="24"/>
  <c r="O57" i="11"/>
  <c r="O58" i="11" s="1"/>
  <c r="O57" i="12"/>
  <c r="O44" i="24"/>
  <c r="O45" i="4"/>
  <c r="F45" i="4"/>
  <c r="O44" i="14"/>
  <c r="O45" i="14" s="1"/>
  <c r="D48" i="29"/>
  <c r="J47" i="29"/>
  <c r="D49" i="28"/>
  <c r="J48" i="28"/>
  <c r="D49" i="27"/>
  <c r="J48" i="27"/>
  <c r="P40" i="27"/>
  <c r="J46" i="26"/>
  <c r="D47" i="26"/>
  <c r="D48" i="24"/>
  <c r="J47" i="24"/>
  <c r="G36" i="24"/>
  <c r="D49" i="23"/>
  <c r="J48" i="23"/>
  <c r="D47" i="22"/>
  <c r="J46" i="22"/>
  <c r="D48" i="21"/>
  <c r="J47" i="21"/>
  <c r="J46" i="20"/>
  <c r="D47" i="20"/>
  <c r="D48" i="19"/>
  <c r="J47" i="19"/>
  <c r="D49" i="18"/>
  <c r="J48" i="18"/>
  <c r="D48" i="17"/>
  <c r="J47" i="17"/>
  <c r="D48" i="16"/>
  <c r="J47" i="16"/>
  <c r="P40" i="14"/>
  <c r="H37" i="15"/>
  <c r="E38" i="15" s="1"/>
  <c r="D48" i="15"/>
  <c r="J47" i="15"/>
  <c r="D49" i="14"/>
  <c r="J48" i="14"/>
  <c r="D48" i="13"/>
  <c r="J47" i="13"/>
  <c r="G40" i="13"/>
  <c r="P40" i="13" s="1"/>
  <c r="G39" i="12"/>
  <c r="H39" i="12" s="1"/>
  <c r="E40" i="12" s="1"/>
  <c r="D48" i="12"/>
  <c r="J47" i="12"/>
  <c r="P38" i="12"/>
  <c r="P39" i="11"/>
  <c r="G40" i="11"/>
  <c r="H40" i="11" s="1"/>
  <c r="E41" i="11" s="1"/>
  <c r="D48" i="11"/>
  <c r="J47" i="11"/>
  <c r="G39" i="10"/>
  <c r="P39" i="10" s="1"/>
  <c r="D47" i="10"/>
  <c r="J46" i="10"/>
  <c r="D48" i="9"/>
  <c r="J47" i="9"/>
  <c r="H36" i="9"/>
  <c r="E37" i="9" s="1"/>
  <c r="G37" i="8"/>
  <c r="G38" i="7"/>
  <c r="H38" i="7" s="1"/>
  <c r="E39" i="7" s="1"/>
  <c r="D48" i="7"/>
  <c r="J47" i="7"/>
  <c r="P37" i="7"/>
  <c r="P38" i="6"/>
  <c r="G39" i="6"/>
  <c r="H36" i="4"/>
  <c r="E37" i="4" s="1"/>
  <c r="D53" i="4"/>
  <c r="J52" i="4"/>
  <c r="H41" i="27" l="1"/>
  <c r="E42" i="27" s="1"/>
  <c r="G42" i="27" s="1"/>
  <c r="O58" i="12"/>
  <c r="F46" i="4"/>
  <c r="F58" i="12"/>
  <c r="F59" i="11"/>
  <c r="O59" i="11" s="1"/>
  <c r="O46" i="4"/>
  <c r="F46" i="24"/>
  <c r="F46" i="14"/>
  <c r="P36" i="24"/>
  <c r="O45" i="24"/>
  <c r="F46" i="27"/>
  <c r="O46" i="27" s="1"/>
  <c r="P37" i="8"/>
  <c r="D49" i="29"/>
  <c r="J48" i="29"/>
  <c r="D50" i="28"/>
  <c r="J49" i="28"/>
  <c r="P41" i="27"/>
  <c r="D50" i="27"/>
  <c r="J49" i="27"/>
  <c r="D48" i="26"/>
  <c r="J47" i="26"/>
  <c r="H36" i="24"/>
  <c r="E37" i="24" s="1"/>
  <c r="D49" i="24"/>
  <c r="J48" i="24"/>
  <c r="J49" i="23"/>
  <c r="D50" i="23"/>
  <c r="D48" i="22"/>
  <c r="J47" i="22"/>
  <c r="D49" i="21"/>
  <c r="J48" i="21"/>
  <c r="D48" i="20"/>
  <c r="J47" i="20"/>
  <c r="D49" i="19"/>
  <c r="J48" i="19"/>
  <c r="D50" i="18"/>
  <c r="J49" i="18"/>
  <c r="P41" i="14"/>
  <c r="D49" i="17"/>
  <c r="J48" i="17"/>
  <c r="D49" i="16"/>
  <c r="J48" i="16"/>
  <c r="D49" i="15"/>
  <c r="J48" i="15"/>
  <c r="P38" i="15"/>
  <c r="H41" i="14"/>
  <c r="E42" i="14" s="1"/>
  <c r="J49" i="14"/>
  <c r="D50" i="14"/>
  <c r="H40" i="13"/>
  <c r="E41" i="13" s="1"/>
  <c r="D49" i="13"/>
  <c r="J48" i="13"/>
  <c r="P39" i="12"/>
  <c r="G40" i="12"/>
  <c r="H40" i="12" s="1"/>
  <c r="E41" i="12" s="1"/>
  <c r="D49" i="12"/>
  <c r="J48" i="12"/>
  <c r="P40" i="11"/>
  <c r="G41" i="11"/>
  <c r="J48" i="11"/>
  <c r="D49" i="11"/>
  <c r="D48" i="10"/>
  <c r="J47" i="10"/>
  <c r="H39" i="10"/>
  <c r="E40" i="10" s="1"/>
  <c r="G37" i="9"/>
  <c r="P37" i="9" s="1"/>
  <c r="D49" i="9"/>
  <c r="J48" i="9"/>
  <c r="H37" i="8"/>
  <c r="E38" i="8" s="1"/>
  <c r="P38" i="7"/>
  <c r="P39" i="6"/>
  <c r="D49" i="7"/>
  <c r="J48" i="7"/>
  <c r="G39" i="7"/>
  <c r="H39" i="7" s="1"/>
  <c r="E40" i="7" s="1"/>
  <c r="H39" i="6"/>
  <c r="E40" i="6" s="1"/>
  <c r="D54" i="4"/>
  <c r="J53" i="4"/>
  <c r="G37" i="4"/>
  <c r="G13" i="33" a="1"/>
  <c r="G119" i="27"/>
  <c r="G13" i="33" l="1"/>
  <c r="O60" i="11"/>
  <c r="H42" i="27"/>
  <c r="E43" i="27" s="1"/>
  <c r="F47" i="24"/>
  <c r="O46" i="24"/>
  <c r="O47" i="24" s="1"/>
  <c r="F47" i="4"/>
  <c r="F60" i="11"/>
  <c r="P37" i="4"/>
  <c r="F47" i="27"/>
  <c r="F47" i="14"/>
  <c r="F59" i="12"/>
  <c r="O46" i="14"/>
  <c r="D50" i="29"/>
  <c r="J49" i="29"/>
  <c r="J50" i="28"/>
  <c r="D51" i="28"/>
  <c r="P42" i="27"/>
  <c r="G43" i="27"/>
  <c r="D51" i="27"/>
  <c r="J50" i="27"/>
  <c r="D49" i="26"/>
  <c r="J48" i="26"/>
  <c r="D50" i="24"/>
  <c r="J49" i="24"/>
  <c r="G37" i="24"/>
  <c r="J50" i="23"/>
  <c r="D51" i="23"/>
  <c r="D49" i="22"/>
  <c r="J48" i="22"/>
  <c r="D50" i="21"/>
  <c r="J49" i="21"/>
  <c r="D49" i="20"/>
  <c r="J48" i="20"/>
  <c r="D50" i="19"/>
  <c r="J49" i="19"/>
  <c r="J50" i="18"/>
  <c r="D51" i="18"/>
  <c r="D50" i="17"/>
  <c r="J49" i="17"/>
  <c r="D50" i="16"/>
  <c r="J49" i="16"/>
  <c r="H38" i="15"/>
  <c r="E39" i="15" s="1"/>
  <c r="D50" i="15"/>
  <c r="J49" i="15"/>
  <c r="D51" i="14"/>
  <c r="J50" i="14"/>
  <c r="G42" i="14"/>
  <c r="D50" i="13"/>
  <c r="J49" i="13"/>
  <c r="G41" i="13"/>
  <c r="P40" i="12"/>
  <c r="G41" i="12"/>
  <c r="H41" i="12" s="1"/>
  <c r="E42" i="12" s="1"/>
  <c r="J49" i="12"/>
  <c r="D50" i="12"/>
  <c r="P41" i="11"/>
  <c r="H41" i="11"/>
  <c r="E42" i="11" s="1"/>
  <c r="G42" i="11" s="1"/>
  <c r="J49" i="11"/>
  <c r="D50" i="11"/>
  <c r="D49" i="10"/>
  <c r="J48" i="10"/>
  <c r="G40" i="10"/>
  <c r="P40" i="10" s="1"/>
  <c r="J49" i="9"/>
  <c r="D50" i="9"/>
  <c r="H37" i="9"/>
  <c r="E38" i="9" s="1"/>
  <c r="G38" i="8"/>
  <c r="G40" i="7"/>
  <c r="H40" i="7" s="1"/>
  <c r="E41" i="7" s="1"/>
  <c r="P39" i="7"/>
  <c r="D50" i="7"/>
  <c r="J49" i="7"/>
  <c r="G40" i="6"/>
  <c r="H37" i="4"/>
  <c r="E38" i="4" s="1"/>
  <c r="D55" i="4"/>
  <c r="J54" i="4"/>
  <c r="G12" i="33" a="1"/>
  <c r="O47" i="14" l="1"/>
  <c r="G12" i="33"/>
  <c r="P37" i="24"/>
  <c r="F48" i="27"/>
  <c r="F48" i="4"/>
  <c r="O47" i="27"/>
  <c r="O47" i="4"/>
  <c r="P42" i="14"/>
  <c r="F60" i="12"/>
  <c r="O59" i="12"/>
  <c r="P41" i="13"/>
  <c r="H43" i="27"/>
  <c r="E44" i="27" s="1"/>
  <c r="F48" i="14"/>
  <c r="F61" i="11"/>
  <c r="F48" i="24"/>
  <c r="O48" i="24" s="1"/>
  <c r="P38" i="8"/>
  <c r="D51" i="29"/>
  <c r="J50" i="29"/>
  <c r="D52" i="28"/>
  <c r="J51" i="28"/>
  <c r="G44" i="27"/>
  <c r="P43" i="27"/>
  <c r="D52" i="27"/>
  <c r="J51" i="27"/>
  <c r="J49" i="26"/>
  <c r="D50" i="26"/>
  <c r="H37" i="24"/>
  <c r="E38" i="24" s="1"/>
  <c r="D51" i="24"/>
  <c r="J50" i="24"/>
  <c r="D52" i="23"/>
  <c r="J51" i="23"/>
  <c r="D50" i="22"/>
  <c r="J49" i="22"/>
  <c r="J50" i="21"/>
  <c r="D51" i="21"/>
  <c r="J49" i="20"/>
  <c r="D50" i="20"/>
  <c r="J50" i="19"/>
  <c r="D51" i="19"/>
  <c r="D52" i="18"/>
  <c r="J51" i="18"/>
  <c r="J50" i="17"/>
  <c r="D51" i="17"/>
  <c r="J50" i="16"/>
  <c r="D51" i="16"/>
  <c r="D51" i="15"/>
  <c r="J50" i="15"/>
  <c r="P39" i="15"/>
  <c r="H42" i="14"/>
  <c r="E43" i="14" s="1"/>
  <c r="D52" i="14"/>
  <c r="J51" i="14"/>
  <c r="P42" i="11"/>
  <c r="H41" i="13"/>
  <c r="E42" i="13" s="1"/>
  <c r="D51" i="13"/>
  <c r="J50" i="13"/>
  <c r="G42" i="12"/>
  <c r="P41" i="12"/>
  <c r="D51" i="12"/>
  <c r="J50" i="12"/>
  <c r="H42" i="11"/>
  <c r="E43" i="11" s="1"/>
  <c r="D51" i="11"/>
  <c r="J50" i="11"/>
  <c r="H40" i="10"/>
  <c r="E41" i="10" s="1"/>
  <c r="D50" i="10"/>
  <c r="J49" i="10"/>
  <c r="G38" i="9"/>
  <c r="P38" i="9" s="1"/>
  <c r="D51" i="9"/>
  <c r="J50" i="9"/>
  <c r="H38" i="8"/>
  <c r="E39" i="8" s="1"/>
  <c r="G39" i="8" s="1"/>
  <c r="P40" i="7"/>
  <c r="G41" i="7"/>
  <c r="H41" i="7" s="1"/>
  <c r="E42" i="7" s="1"/>
  <c r="D51" i="7"/>
  <c r="J50" i="7"/>
  <c r="P40" i="6"/>
  <c r="H40" i="6"/>
  <c r="E41" i="6" s="1"/>
  <c r="G38" i="4"/>
  <c r="D56" i="4"/>
  <c r="J55" i="4"/>
  <c r="G11" i="33" a="1"/>
  <c r="O48" i="4" l="1"/>
  <c r="O49" i="4" s="1"/>
  <c r="G11" i="33"/>
  <c r="F49" i="24"/>
  <c r="F61" i="12"/>
  <c r="O48" i="27"/>
  <c r="F62" i="11"/>
  <c r="O61" i="11"/>
  <c r="F49" i="4"/>
  <c r="H44" i="27"/>
  <c r="E45" i="27" s="1"/>
  <c r="G45" i="27" s="1"/>
  <c r="F49" i="14"/>
  <c r="O49" i="24"/>
  <c r="F49" i="27"/>
  <c r="P38" i="4"/>
  <c r="H42" i="12"/>
  <c r="E43" i="12" s="1"/>
  <c r="O60" i="12"/>
  <c r="O61" i="12" s="1"/>
  <c r="O48" i="14"/>
  <c r="H39" i="8"/>
  <c r="E40" i="8" s="1"/>
  <c r="G40" i="8" s="1"/>
  <c r="D52" i="29"/>
  <c r="J51" i="29"/>
  <c r="D53" i="28"/>
  <c r="J52" i="28"/>
  <c r="D53" i="27"/>
  <c r="J52" i="27"/>
  <c r="P44" i="27"/>
  <c r="J50" i="26"/>
  <c r="D51" i="26"/>
  <c r="D52" i="24"/>
  <c r="J52" i="24" s="1"/>
  <c r="J51" i="24"/>
  <c r="G38" i="24"/>
  <c r="D53" i="23"/>
  <c r="J52" i="23"/>
  <c r="D51" i="22"/>
  <c r="J50" i="22"/>
  <c r="D52" i="21"/>
  <c r="J51" i="21"/>
  <c r="J50" i="20"/>
  <c r="D51" i="20"/>
  <c r="D52" i="19"/>
  <c r="J51" i="19"/>
  <c r="D53" i="18"/>
  <c r="J52" i="18"/>
  <c r="D52" i="17"/>
  <c r="J51" i="17"/>
  <c r="D52" i="16"/>
  <c r="J51" i="16"/>
  <c r="H39" i="15"/>
  <c r="E40" i="15" s="1"/>
  <c r="D52" i="15"/>
  <c r="J51" i="15"/>
  <c r="J52" i="14"/>
  <c r="G43" i="14"/>
  <c r="P42" i="12"/>
  <c r="D52" i="13"/>
  <c r="J51" i="13"/>
  <c r="G42" i="13"/>
  <c r="G43" i="12"/>
  <c r="D52" i="12"/>
  <c r="J51" i="12"/>
  <c r="D52" i="11"/>
  <c r="J51" i="11"/>
  <c r="G43" i="11"/>
  <c r="G41" i="10"/>
  <c r="P41" i="10" s="1"/>
  <c r="D51" i="10"/>
  <c r="J50" i="10"/>
  <c r="H38" i="9"/>
  <c r="E39" i="9" s="1"/>
  <c r="G39" i="9" s="1"/>
  <c r="D52" i="9"/>
  <c r="J51" i="9"/>
  <c r="P39" i="8"/>
  <c r="P41" i="7"/>
  <c r="D52" i="7"/>
  <c r="J51" i="7"/>
  <c r="G42" i="7"/>
  <c r="H42" i="7" s="1"/>
  <c r="E43" i="7" s="1"/>
  <c r="G41" i="6"/>
  <c r="H38" i="4"/>
  <c r="E39" i="4" s="1"/>
  <c r="G39" i="4" s="1"/>
  <c r="D57" i="4"/>
  <c r="J56" i="4"/>
  <c r="G15" i="33" a="1"/>
  <c r="G119" i="8"/>
  <c r="G15" i="33" l="1"/>
  <c r="P43" i="11"/>
  <c r="F50" i="14"/>
  <c r="F63" i="11"/>
  <c r="H43" i="12"/>
  <c r="E44" i="12" s="1"/>
  <c r="G44" i="12" s="1"/>
  <c r="O49" i="14"/>
  <c r="F50" i="27"/>
  <c r="O49" i="27"/>
  <c r="P42" i="13"/>
  <c r="P43" i="14"/>
  <c r="H40" i="15"/>
  <c r="E41" i="15" s="1"/>
  <c r="H41" i="15" s="1"/>
  <c r="E42" i="15" s="1"/>
  <c r="F50" i="4"/>
  <c r="O50" i="4" s="1"/>
  <c r="F62" i="12"/>
  <c r="O62" i="12" s="1"/>
  <c r="P39" i="4"/>
  <c r="P38" i="24"/>
  <c r="H45" i="27"/>
  <c r="E46" i="27" s="1"/>
  <c r="G46" i="27" s="1"/>
  <c r="O62" i="11"/>
  <c r="O63" i="11" s="1"/>
  <c r="F50" i="24"/>
  <c r="F123" i="8"/>
  <c r="G110" i="8"/>
  <c r="E110" i="8" s="1"/>
  <c r="J52" i="29"/>
  <c r="D53" i="29"/>
  <c r="D54" i="28"/>
  <c r="J53" i="28"/>
  <c r="P45" i="27"/>
  <c r="D54" i="27"/>
  <c r="J53" i="27"/>
  <c r="D52" i="26"/>
  <c r="J51" i="26"/>
  <c r="H38" i="24"/>
  <c r="E39" i="24" s="1"/>
  <c r="G39" i="24" s="1"/>
  <c r="D54" i="23"/>
  <c r="J53" i="23"/>
  <c r="J51" i="22"/>
  <c r="D52" i="22"/>
  <c r="D53" i="21"/>
  <c r="J52" i="21"/>
  <c r="D52" i="20"/>
  <c r="J51" i="20"/>
  <c r="D53" i="19"/>
  <c r="J52" i="19"/>
  <c r="D54" i="18"/>
  <c r="J53" i="18"/>
  <c r="D53" i="17"/>
  <c r="J52" i="17"/>
  <c r="D53" i="16"/>
  <c r="J52" i="16"/>
  <c r="P40" i="15"/>
  <c r="D53" i="15"/>
  <c r="J52" i="15"/>
  <c r="H43" i="14"/>
  <c r="E44" i="14" s="1"/>
  <c r="H42" i="13"/>
  <c r="E43" i="13" s="1"/>
  <c r="D53" i="13"/>
  <c r="J52" i="13"/>
  <c r="P43" i="12"/>
  <c r="D53" i="12"/>
  <c r="J52" i="12"/>
  <c r="H43" i="11"/>
  <c r="E44" i="11" s="1"/>
  <c r="D53" i="11"/>
  <c r="J52" i="11"/>
  <c r="H41" i="10"/>
  <c r="E42" i="10" s="1"/>
  <c r="D52" i="10"/>
  <c r="J51" i="10"/>
  <c r="H39" i="9"/>
  <c r="E40" i="9" s="1"/>
  <c r="G40" i="9" s="1"/>
  <c r="H40" i="9" s="1"/>
  <c r="E41" i="9" s="1"/>
  <c r="P39" i="9"/>
  <c r="D53" i="9"/>
  <c r="J52" i="9"/>
  <c r="P40" i="8"/>
  <c r="H40" i="8"/>
  <c r="G43" i="7"/>
  <c r="H43" i="7" s="1"/>
  <c r="E44" i="7" s="1"/>
  <c r="P42" i="7"/>
  <c r="D53" i="7"/>
  <c r="J52" i="7"/>
  <c r="P41" i="6"/>
  <c r="H41" i="6"/>
  <c r="E42" i="6" s="1"/>
  <c r="G42" i="6" s="1"/>
  <c r="H42" i="6" s="1"/>
  <c r="E43" i="6" s="1"/>
  <c r="G43" i="6" s="1"/>
  <c r="H43" i="6" s="1"/>
  <c r="E44" i="6" s="1"/>
  <c r="G44" i="6" s="1"/>
  <c r="H44" i="6" s="1"/>
  <c r="E45" i="6" s="1"/>
  <c r="G45" i="6" s="1"/>
  <c r="H45" i="6" s="1"/>
  <c r="E46" i="6" s="1"/>
  <c r="H39" i="4"/>
  <c r="E40" i="4" s="1"/>
  <c r="G40" i="4" s="1"/>
  <c r="D58" i="4"/>
  <c r="J57" i="4"/>
  <c r="H44" i="12" l="1"/>
  <c r="E45" i="12" s="1"/>
  <c r="P40" i="4"/>
  <c r="H46" i="27"/>
  <c r="E47" i="27" s="1"/>
  <c r="G47" i="27" s="1"/>
  <c r="F51" i="24"/>
  <c r="O50" i="27"/>
  <c r="F64" i="11"/>
  <c r="O64" i="11" s="1"/>
  <c r="O50" i="24"/>
  <c r="F63" i="12"/>
  <c r="F51" i="27"/>
  <c r="F51" i="14"/>
  <c r="H39" i="24"/>
  <c r="E40" i="24" s="1"/>
  <c r="F51" i="4"/>
  <c r="O50" i="14"/>
  <c r="J53" i="29"/>
  <c r="D54" i="29"/>
  <c r="J54" i="28"/>
  <c r="D55" i="28"/>
  <c r="P46" i="27"/>
  <c r="D55" i="27"/>
  <c r="J54" i="27"/>
  <c r="D53" i="26"/>
  <c r="J52" i="26"/>
  <c r="P39" i="24"/>
  <c r="G40" i="24"/>
  <c r="J54" i="23"/>
  <c r="D55" i="23"/>
  <c r="J52" i="22"/>
  <c r="D53" i="22"/>
  <c r="D54" i="21"/>
  <c r="J53" i="21"/>
  <c r="D53" i="20"/>
  <c r="J52" i="20"/>
  <c r="D54" i="19"/>
  <c r="J53" i="19"/>
  <c r="J54" i="18"/>
  <c r="D55" i="18"/>
  <c r="D54" i="17"/>
  <c r="J53" i="17"/>
  <c r="D54" i="16"/>
  <c r="J53" i="16"/>
  <c r="P41" i="15"/>
  <c r="H42" i="15"/>
  <c r="E43" i="15" s="1"/>
  <c r="D54" i="15"/>
  <c r="J53" i="15"/>
  <c r="G44" i="14"/>
  <c r="G43" i="13"/>
  <c r="D54" i="13"/>
  <c r="J53" i="13"/>
  <c r="P44" i="12"/>
  <c r="G45" i="12"/>
  <c r="D54" i="12"/>
  <c r="J53" i="12"/>
  <c r="D54" i="11"/>
  <c r="J53" i="11"/>
  <c r="G44" i="11"/>
  <c r="G42" i="10"/>
  <c r="P42" i="10" s="1"/>
  <c r="D53" i="10"/>
  <c r="J52" i="10"/>
  <c r="G41" i="9"/>
  <c r="H41" i="9" s="1"/>
  <c r="E42" i="9" s="1"/>
  <c r="D54" i="9"/>
  <c r="J53" i="9"/>
  <c r="P40" i="9"/>
  <c r="P43" i="7"/>
  <c r="G44" i="7"/>
  <c r="H44" i="7" s="1"/>
  <c r="E45" i="7" s="1"/>
  <c r="D54" i="7"/>
  <c r="J53" i="7"/>
  <c r="P42" i="6"/>
  <c r="P43" i="6" s="1"/>
  <c r="P44" i="6" s="1"/>
  <c r="P45" i="6" s="1"/>
  <c r="G46" i="6"/>
  <c r="H46" i="6" s="1"/>
  <c r="E47" i="6" s="1"/>
  <c r="H40" i="4"/>
  <c r="E41" i="4" s="1"/>
  <c r="G41" i="4" s="1"/>
  <c r="D59" i="4"/>
  <c r="J58" i="4"/>
  <c r="G129" i="11"/>
  <c r="O51" i="14" l="1"/>
  <c r="O51" i="27"/>
  <c r="H47" i="27"/>
  <c r="E48" i="27" s="1"/>
  <c r="H40" i="24"/>
  <c r="E41" i="24" s="1"/>
  <c r="P44" i="11"/>
  <c r="F52" i="4"/>
  <c r="F64" i="12"/>
  <c r="F52" i="27"/>
  <c r="P43" i="13"/>
  <c r="O51" i="24"/>
  <c r="O51" i="4"/>
  <c r="O52" i="4" s="1"/>
  <c r="O63" i="12"/>
  <c r="O64" i="12" s="1"/>
  <c r="P41" i="4"/>
  <c r="P44" i="14"/>
  <c r="F52" i="14"/>
  <c r="F110" i="11"/>
  <c r="F52" i="24"/>
  <c r="D55" i="29"/>
  <c r="J54" i="29"/>
  <c r="D56" i="28"/>
  <c r="J55" i="28"/>
  <c r="P47" i="27"/>
  <c r="G48" i="27"/>
  <c r="D56" i="27"/>
  <c r="J55" i="27"/>
  <c r="P40" i="24"/>
  <c r="D54" i="26"/>
  <c r="J53" i="26"/>
  <c r="G41" i="24"/>
  <c r="D56" i="23"/>
  <c r="J55" i="23"/>
  <c r="J53" i="22"/>
  <c r="D54" i="22"/>
  <c r="J54" i="21"/>
  <c r="D55" i="21"/>
  <c r="J53" i="20"/>
  <c r="D54" i="20"/>
  <c r="J54" i="19"/>
  <c r="D55" i="19"/>
  <c r="D56" i="18"/>
  <c r="J55" i="18"/>
  <c r="J54" i="17"/>
  <c r="D55" i="17"/>
  <c r="J54" i="16"/>
  <c r="D55" i="16"/>
  <c r="P42" i="15"/>
  <c r="H43" i="15"/>
  <c r="E44" i="15" s="1"/>
  <c r="J54" i="15"/>
  <c r="D55" i="15"/>
  <c r="H44" i="14"/>
  <c r="E45" i="14" s="1"/>
  <c r="G45" i="14" s="1"/>
  <c r="P45" i="12"/>
  <c r="H43" i="13"/>
  <c r="E44" i="13" s="1"/>
  <c r="G44" i="13" s="1"/>
  <c r="H45" i="12"/>
  <c r="E46" i="12" s="1"/>
  <c r="G46" i="12" s="1"/>
  <c r="D55" i="13"/>
  <c r="J54" i="13"/>
  <c r="D55" i="12"/>
  <c r="J54" i="12"/>
  <c r="H44" i="11"/>
  <c r="E45" i="11" s="1"/>
  <c r="D55" i="11"/>
  <c r="J54" i="11"/>
  <c r="H42" i="10"/>
  <c r="E43" i="10" s="1"/>
  <c r="G43" i="10" s="1"/>
  <c r="H43" i="10" s="1"/>
  <c r="E44" i="10" s="1"/>
  <c r="P41" i="9"/>
  <c r="D54" i="10"/>
  <c r="J53" i="10"/>
  <c r="G42" i="9"/>
  <c r="H42" i="9" s="1"/>
  <c r="E43" i="9" s="1"/>
  <c r="J54" i="9"/>
  <c r="D55" i="9"/>
  <c r="P46" i="6"/>
  <c r="P44" i="7"/>
  <c r="G45" i="7"/>
  <c r="H45" i="7" s="1"/>
  <c r="E46" i="7" s="1"/>
  <c r="D55" i="7"/>
  <c r="J54" i="7"/>
  <c r="G47" i="6"/>
  <c r="D60" i="4"/>
  <c r="J59" i="4"/>
  <c r="H41" i="4"/>
  <c r="E42" i="4" s="1"/>
  <c r="G10" i="33" a="1"/>
  <c r="G129" i="12"/>
  <c r="G8" i="33" a="1"/>
  <c r="G129" i="14"/>
  <c r="G8" i="33" l="1"/>
  <c r="G10" i="33"/>
  <c r="H44" i="13"/>
  <c r="E45" i="13" s="1"/>
  <c r="F53" i="27"/>
  <c r="H48" i="27"/>
  <c r="E49" i="27" s="1"/>
  <c r="F110" i="14"/>
  <c r="O52" i="14"/>
  <c r="O52" i="27"/>
  <c r="P45" i="14"/>
  <c r="O52" i="24"/>
  <c r="F110" i="12"/>
  <c r="H46" i="12"/>
  <c r="E47" i="12" s="1"/>
  <c r="H41" i="24"/>
  <c r="E42" i="24" s="1"/>
  <c r="F53" i="24"/>
  <c r="F53" i="4"/>
  <c r="O53" i="4" s="1"/>
  <c r="D56" i="29"/>
  <c r="J55" i="29"/>
  <c r="D57" i="28"/>
  <c r="J56" i="28"/>
  <c r="P48" i="27"/>
  <c r="G49" i="27"/>
  <c r="D57" i="27"/>
  <c r="J56" i="27"/>
  <c r="J54" i="26"/>
  <c r="D55" i="26"/>
  <c r="P41" i="24"/>
  <c r="G42" i="24"/>
  <c r="D57" i="23"/>
  <c r="J56" i="23"/>
  <c r="D55" i="22"/>
  <c r="J54" i="22"/>
  <c r="D56" i="21"/>
  <c r="J55" i="21"/>
  <c r="J54" i="20"/>
  <c r="D55" i="20"/>
  <c r="D56" i="19"/>
  <c r="J55" i="19"/>
  <c r="D57" i="18"/>
  <c r="J56" i="18"/>
  <c r="D56" i="17"/>
  <c r="J55" i="17"/>
  <c r="D56" i="16"/>
  <c r="J55" i="16"/>
  <c r="P43" i="15"/>
  <c r="D56" i="15"/>
  <c r="J55" i="15"/>
  <c r="H44" i="15"/>
  <c r="E45" i="15" s="1"/>
  <c r="H45" i="14"/>
  <c r="E46" i="14" s="1"/>
  <c r="P44" i="13"/>
  <c r="P46" i="12"/>
  <c r="G45" i="13"/>
  <c r="D56" i="13"/>
  <c r="J55" i="13"/>
  <c r="G47" i="12"/>
  <c r="D56" i="12"/>
  <c r="J55" i="12"/>
  <c r="G45" i="11"/>
  <c r="D56" i="11"/>
  <c r="J55" i="11"/>
  <c r="P43" i="10"/>
  <c r="G44" i="10"/>
  <c r="D55" i="10"/>
  <c r="J54" i="10"/>
  <c r="G43" i="9"/>
  <c r="H43" i="9" s="1"/>
  <c r="E44" i="9" s="1"/>
  <c r="D56" i="9"/>
  <c r="J55" i="9"/>
  <c r="P42" i="9"/>
  <c r="P45" i="7"/>
  <c r="G46" i="7"/>
  <c r="D56" i="7"/>
  <c r="J55" i="7"/>
  <c r="P47" i="6"/>
  <c r="H47" i="6"/>
  <c r="E48" i="6" s="1"/>
  <c r="G42" i="4"/>
  <c r="D61" i="4"/>
  <c r="J60" i="4"/>
  <c r="G7" i="33" a="1"/>
  <c r="G119" i="24"/>
  <c r="G7" i="33" l="1"/>
  <c r="F54" i="27"/>
  <c r="P42" i="4"/>
  <c r="F54" i="24"/>
  <c r="O53" i="24"/>
  <c r="O54" i="24" s="1"/>
  <c r="H45" i="13"/>
  <c r="E46" i="13" s="1"/>
  <c r="H42" i="24"/>
  <c r="E43" i="24" s="1"/>
  <c r="G43" i="24" s="1"/>
  <c r="F54" i="4"/>
  <c r="O54" i="4" s="1"/>
  <c r="G48" i="6"/>
  <c r="H46" i="7"/>
  <c r="E47" i="7" s="1"/>
  <c r="H44" i="10"/>
  <c r="E45" i="10" s="1"/>
  <c r="G45" i="10" s="1"/>
  <c r="P45" i="11"/>
  <c r="H49" i="27"/>
  <c r="E50" i="27" s="1"/>
  <c r="G50" i="27" s="1"/>
  <c r="O53" i="27"/>
  <c r="O54" i="27" s="1"/>
  <c r="D57" i="29"/>
  <c r="J56" i="29"/>
  <c r="D58" i="28"/>
  <c r="J57" i="28"/>
  <c r="P49" i="27"/>
  <c r="D58" i="27"/>
  <c r="J57" i="27"/>
  <c r="P42" i="24"/>
  <c r="D56" i="26"/>
  <c r="J55" i="26"/>
  <c r="J57" i="23"/>
  <c r="D58" i="23"/>
  <c r="D56" i="22"/>
  <c r="J55" i="22"/>
  <c r="D57" i="21"/>
  <c r="J56" i="21"/>
  <c r="D56" i="20"/>
  <c r="J55" i="20"/>
  <c r="D57" i="19"/>
  <c r="J56" i="19"/>
  <c r="D58" i="18"/>
  <c r="J57" i="18"/>
  <c r="D57" i="17"/>
  <c r="J56" i="17"/>
  <c r="D57" i="16"/>
  <c r="J56" i="16"/>
  <c r="P44" i="15"/>
  <c r="H45" i="15"/>
  <c r="E46" i="15" s="1"/>
  <c r="D57" i="15"/>
  <c r="J56" i="15"/>
  <c r="G46" i="14"/>
  <c r="P47" i="12"/>
  <c r="P43" i="9"/>
  <c r="H45" i="11"/>
  <c r="E46" i="11" s="1"/>
  <c r="G46" i="11" s="1"/>
  <c r="P45" i="13"/>
  <c r="G46" i="13"/>
  <c r="D57" i="13"/>
  <c r="J56" i="13"/>
  <c r="H47" i="12"/>
  <c r="E48" i="12" s="1"/>
  <c r="G48" i="12" s="1"/>
  <c r="D57" i="12"/>
  <c r="J56" i="12"/>
  <c r="D57" i="11"/>
  <c r="J56" i="11"/>
  <c r="P44" i="10"/>
  <c r="D56" i="10"/>
  <c r="J55" i="10"/>
  <c r="G44" i="9"/>
  <c r="H44" i="9" s="1"/>
  <c r="E45" i="9" s="1"/>
  <c r="D57" i="9"/>
  <c r="J56" i="9"/>
  <c r="G47" i="7"/>
  <c r="P46" i="7"/>
  <c r="D57" i="7"/>
  <c r="J56" i="7"/>
  <c r="D62" i="4"/>
  <c r="J61" i="4"/>
  <c r="H42" i="4"/>
  <c r="E43" i="4" s="1"/>
  <c r="H45" i="10" l="1"/>
  <c r="E46" i="10" s="1"/>
  <c r="G46" i="10" s="1"/>
  <c r="H43" i="24"/>
  <c r="E44" i="24" s="1"/>
  <c r="H50" i="27"/>
  <c r="E51" i="27" s="1"/>
  <c r="P46" i="14"/>
  <c r="P46" i="11"/>
  <c r="F55" i="27"/>
  <c r="H47" i="7"/>
  <c r="E48" i="7" s="1"/>
  <c r="H48" i="6"/>
  <c r="E49" i="6" s="1"/>
  <c r="G49" i="6" s="1"/>
  <c r="P48" i="6"/>
  <c r="H46" i="13"/>
  <c r="E47" i="13" s="1"/>
  <c r="G47" i="13" s="1"/>
  <c r="F55" i="4"/>
  <c r="O55" i="4" s="1"/>
  <c r="F55" i="24"/>
  <c r="D58" i="29"/>
  <c r="J57" i="29"/>
  <c r="J58" i="28"/>
  <c r="D59" i="28"/>
  <c r="P50" i="27"/>
  <c r="G51" i="27"/>
  <c r="D59" i="27"/>
  <c r="J58" i="27"/>
  <c r="P43" i="24"/>
  <c r="D57" i="26"/>
  <c r="J56" i="26"/>
  <c r="G44" i="24"/>
  <c r="J58" i="23"/>
  <c r="D59" i="23"/>
  <c r="D57" i="22"/>
  <c r="J56" i="22"/>
  <c r="J57" i="21"/>
  <c r="D58" i="21"/>
  <c r="D57" i="20"/>
  <c r="J56" i="20"/>
  <c r="D58" i="19"/>
  <c r="J57" i="19"/>
  <c r="J58" i="18"/>
  <c r="D59" i="18"/>
  <c r="D58" i="17"/>
  <c r="J57" i="17"/>
  <c r="D58" i="16"/>
  <c r="J57" i="16"/>
  <c r="H46" i="15"/>
  <c r="E47" i="15" s="1"/>
  <c r="D58" i="15"/>
  <c r="J57" i="15"/>
  <c r="P45" i="15"/>
  <c r="H46" i="14"/>
  <c r="E47" i="14" s="1"/>
  <c r="P46" i="13"/>
  <c r="D58" i="13"/>
  <c r="J57" i="13"/>
  <c r="P48" i="12"/>
  <c r="H48" i="12"/>
  <c r="E49" i="12" s="1"/>
  <c r="D58" i="12"/>
  <c r="J57" i="12"/>
  <c r="P45" i="10"/>
  <c r="P46" i="10" s="1"/>
  <c r="H46" i="11"/>
  <c r="E47" i="11" s="1"/>
  <c r="G47" i="11" s="1"/>
  <c r="D58" i="11"/>
  <c r="J57" i="11"/>
  <c r="D57" i="10"/>
  <c r="J56" i="10"/>
  <c r="G45" i="9"/>
  <c r="H45" i="9" s="1"/>
  <c r="E46" i="9" s="1"/>
  <c r="J57" i="9"/>
  <c r="D58" i="9"/>
  <c r="P44" i="9"/>
  <c r="P47" i="7"/>
  <c r="G48" i="7"/>
  <c r="D58" i="7"/>
  <c r="J57" i="7"/>
  <c r="G43" i="4"/>
  <c r="D63" i="4"/>
  <c r="J62" i="4"/>
  <c r="G119" i="4"/>
  <c r="H48" i="7" l="1"/>
  <c r="E49" i="7" s="1"/>
  <c r="H51" i="27"/>
  <c r="E52" i="27" s="1"/>
  <c r="G52" i="27" s="1"/>
  <c r="H49" i="6"/>
  <c r="E50" i="6" s="1"/>
  <c r="G50" i="6" s="1"/>
  <c r="H46" i="10"/>
  <c r="E47" i="10" s="1"/>
  <c r="G47" i="10" s="1"/>
  <c r="P49" i="6"/>
  <c r="H44" i="24"/>
  <c r="E45" i="24" s="1"/>
  <c r="F56" i="24"/>
  <c r="F56" i="27"/>
  <c r="P43" i="4"/>
  <c r="P47" i="11"/>
  <c r="F56" i="4"/>
  <c r="O55" i="24"/>
  <c r="O55" i="27"/>
  <c r="D59" i="29"/>
  <c r="J58" i="29"/>
  <c r="D60" i="28"/>
  <c r="J59" i="28"/>
  <c r="P51" i="27"/>
  <c r="D60" i="27"/>
  <c r="J59" i="27"/>
  <c r="J57" i="26"/>
  <c r="D58" i="26"/>
  <c r="P44" i="24"/>
  <c r="G45" i="24"/>
  <c r="D60" i="23"/>
  <c r="J59" i="23"/>
  <c r="D58" i="22"/>
  <c r="J57" i="22"/>
  <c r="J58" i="21"/>
  <c r="D59" i="21"/>
  <c r="J57" i="20"/>
  <c r="D58" i="20"/>
  <c r="J58" i="19"/>
  <c r="D59" i="19"/>
  <c r="D60" i="18"/>
  <c r="J59" i="18"/>
  <c r="J58" i="17"/>
  <c r="D59" i="17"/>
  <c r="J58" i="16"/>
  <c r="D59" i="16"/>
  <c r="P46" i="15"/>
  <c r="D59" i="15"/>
  <c r="J58" i="15"/>
  <c r="G47" i="14"/>
  <c r="P47" i="13"/>
  <c r="H47" i="13"/>
  <c r="E48" i="13" s="1"/>
  <c r="D59" i="13"/>
  <c r="J58" i="13"/>
  <c r="G49" i="12"/>
  <c r="D59" i="12"/>
  <c r="J58" i="12"/>
  <c r="H47" i="11"/>
  <c r="E48" i="11" s="1"/>
  <c r="G48" i="11" s="1"/>
  <c r="D59" i="11"/>
  <c r="J58" i="11"/>
  <c r="P45" i="9"/>
  <c r="D58" i="10"/>
  <c r="J57" i="10"/>
  <c r="G46" i="9"/>
  <c r="H46" i="9" s="1"/>
  <c r="E47" i="9" s="1"/>
  <c r="D59" i="9"/>
  <c r="J58" i="9"/>
  <c r="P48" i="7"/>
  <c r="G49" i="7"/>
  <c r="D59" i="7"/>
  <c r="J58" i="7"/>
  <c r="P50" i="6"/>
  <c r="J63" i="4"/>
  <c r="D64" i="4"/>
  <c r="J64" i="4" s="1"/>
  <c r="H43" i="4"/>
  <c r="E44" i="4" s="1"/>
  <c r="H52" i="27" l="1"/>
  <c r="E53" i="27" s="1"/>
  <c r="P49" i="12"/>
  <c r="H47" i="10"/>
  <c r="E48" i="10" s="1"/>
  <c r="G48" i="10" s="1"/>
  <c r="H49" i="7"/>
  <c r="E50" i="7" s="1"/>
  <c r="P48" i="11"/>
  <c r="P47" i="14"/>
  <c r="H45" i="24"/>
  <c r="E46" i="24" s="1"/>
  <c r="O56" i="27"/>
  <c r="H50" i="6"/>
  <c r="E51" i="6" s="1"/>
  <c r="G51" i="6" s="1"/>
  <c r="F57" i="24"/>
  <c r="O56" i="24"/>
  <c r="O57" i="24" s="1"/>
  <c r="F57" i="27"/>
  <c r="P47" i="10"/>
  <c r="F57" i="4"/>
  <c r="O56" i="4"/>
  <c r="O57" i="4" s="1"/>
  <c r="D60" i="29"/>
  <c r="J59" i="29"/>
  <c r="D61" i="28"/>
  <c r="J60" i="28"/>
  <c r="P52" i="27"/>
  <c r="G53" i="27"/>
  <c r="D61" i="27"/>
  <c r="J60" i="27"/>
  <c r="P45" i="24"/>
  <c r="J58" i="26"/>
  <c r="D59" i="26"/>
  <c r="G46" i="24"/>
  <c r="D61" i="23"/>
  <c r="J60" i="23"/>
  <c r="D59" i="22"/>
  <c r="J58" i="22"/>
  <c r="D60" i="21"/>
  <c r="J59" i="21"/>
  <c r="J58" i="20"/>
  <c r="D59" i="20"/>
  <c r="D60" i="19"/>
  <c r="J59" i="19"/>
  <c r="D61" i="18"/>
  <c r="J60" i="18"/>
  <c r="D60" i="17"/>
  <c r="J59" i="17"/>
  <c r="D60" i="16"/>
  <c r="J59" i="16"/>
  <c r="P47" i="15"/>
  <c r="H47" i="15"/>
  <c r="E48" i="15" s="1"/>
  <c r="D60" i="15"/>
  <c r="J59" i="15"/>
  <c r="H47" i="14"/>
  <c r="E48" i="14" s="1"/>
  <c r="P46" i="9"/>
  <c r="G48" i="13"/>
  <c r="D60" i="13"/>
  <c r="J59" i="13"/>
  <c r="H49" i="12"/>
  <c r="E50" i="12" s="1"/>
  <c r="D60" i="12"/>
  <c r="J59" i="12"/>
  <c r="H48" i="11"/>
  <c r="E49" i="11" s="1"/>
  <c r="D60" i="11"/>
  <c r="J59" i="11"/>
  <c r="D59" i="10"/>
  <c r="J58" i="10"/>
  <c r="G47" i="9"/>
  <c r="H47" i="9" s="1"/>
  <c r="E48" i="9" s="1"/>
  <c r="D60" i="9"/>
  <c r="J59" i="9"/>
  <c r="P49" i="7"/>
  <c r="G50" i="7"/>
  <c r="D60" i="7"/>
  <c r="J59" i="7"/>
  <c r="G44" i="4"/>
  <c r="G9" i="33" a="1"/>
  <c r="P48" i="10" l="1"/>
  <c r="G9" i="33"/>
  <c r="H53" i="27"/>
  <c r="E54" i="27" s="1"/>
  <c r="G54" i="27" s="1"/>
  <c r="H51" i="6"/>
  <c r="E52" i="6" s="1"/>
  <c r="G52" i="6" s="1"/>
  <c r="P44" i="4"/>
  <c r="F58" i="27"/>
  <c r="O57" i="27"/>
  <c r="O58" i="27" s="1"/>
  <c r="H50" i="7"/>
  <c r="E51" i="7" s="1"/>
  <c r="H46" i="24"/>
  <c r="E47" i="24" s="1"/>
  <c r="G47" i="24" s="1"/>
  <c r="H48" i="10"/>
  <c r="E49" i="10" s="1"/>
  <c r="P51" i="6"/>
  <c r="P52" i="6" s="1"/>
  <c r="P48" i="13"/>
  <c r="F58" i="4"/>
  <c r="F58" i="24"/>
  <c r="O58" i="24" s="1"/>
  <c r="J60" i="29"/>
  <c r="D61" i="29"/>
  <c r="D62" i="28"/>
  <c r="J61" i="28"/>
  <c r="P53" i="27"/>
  <c r="D62" i="27"/>
  <c r="J61" i="27"/>
  <c r="P46" i="24"/>
  <c r="D60" i="26"/>
  <c r="J59" i="26"/>
  <c r="J61" i="23"/>
  <c r="D62" i="23"/>
  <c r="D60" i="22"/>
  <c r="J59" i="22"/>
  <c r="D61" i="21"/>
  <c r="J60" i="21"/>
  <c r="D60" i="20"/>
  <c r="J59" i="20"/>
  <c r="D61" i="19"/>
  <c r="J60" i="19"/>
  <c r="D62" i="18"/>
  <c r="J61" i="18"/>
  <c r="D61" i="17"/>
  <c r="J60" i="17"/>
  <c r="D61" i="16"/>
  <c r="J60" i="16"/>
  <c r="D61" i="15"/>
  <c r="J60" i="15"/>
  <c r="P48" i="15"/>
  <c r="G48" i="14"/>
  <c r="D61" i="13"/>
  <c r="J60" i="13"/>
  <c r="H48" i="13"/>
  <c r="E49" i="13" s="1"/>
  <c r="G50" i="12"/>
  <c r="D61" i="12"/>
  <c r="J60" i="12"/>
  <c r="G49" i="11"/>
  <c r="D61" i="11"/>
  <c r="J60" i="11"/>
  <c r="J59" i="10"/>
  <c r="D60" i="10"/>
  <c r="P47" i="9"/>
  <c r="G48" i="9"/>
  <c r="D61" i="9"/>
  <c r="J60" i="9"/>
  <c r="P50" i="7"/>
  <c r="G51" i="7"/>
  <c r="D61" i="7"/>
  <c r="J60" i="7"/>
  <c r="H44" i="4"/>
  <c r="E45" i="4" s="1"/>
  <c r="G45" i="4" s="1"/>
  <c r="H54" i="27" l="1"/>
  <c r="E55" i="27" s="1"/>
  <c r="H48" i="9"/>
  <c r="E49" i="9" s="1"/>
  <c r="H45" i="4"/>
  <c r="E46" i="4" s="1"/>
  <c r="P49" i="11"/>
  <c r="P50" i="12"/>
  <c r="P48" i="14"/>
  <c r="F59" i="24"/>
  <c r="G49" i="10"/>
  <c r="H52" i="6"/>
  <c r="E53" i="6" s="1"/>
  <c r="G53" i="6" s="1"/>
  <c r="P53" i="6" s="1"/>
  <c r="F59" i="4"/>
  <c r="O59" i="24"/>
  <c r="O58" i="4"/>
  <c r="O59" i="4" s="1"/>
  <c r="F59" i="27"/>
  <c r="O59" i="27" s="1"/>
  <c r="J61" i="29"/>
  <c r="D62" i="29"/>
  <c r="J62" i="28"/>
  <c r="D63" i="28"/>
  <c r="P54" i="27"/>
  <c r="P47" i="24"/>
  <c r="J62" i="27"/>
  <c r="D63" i="27"/>
  <c r="G55" i="27"/>
  <c r="D61" i="26"/>
  <c r="J60" i="26"/>
  <c r="H47" i="24"/>
  <c r="E48" i="24" s="1"/>
  <c r="J62" i="23"/>
  <c r="D63" i="23"/>
  <c r="J60" i="22"/>
  <c r="D61" i="22"/>
  <c r="J61" i="21"/>
  <c r="D62" i="21"/>
  <c r="J60" i="20"/>
  <c r="D61" i="20"/>
  <c r="D62" i="19"/>
  <c r="J61" i="19"/>
  <c r="J62" i="18"/>
  <c r="D63" i="18"/>
  <c r="D62" i="17"/>
  <c r="J61" i="17"/>
  <c r="D62" i="16"/>
  <c r="J61" i="16"/>
  <c r="H48" i="15"/>
  <c r="E49" i="15" s="1"/>
  <c r="H49" i="15" s="1"/>
  <c r="E50" i="15" s="1"/>
  <c r="D62" i="15"/>
  <c r="J61" i="15"/>
  <c r="H48" i="14"/>
  <c r="E49" i="14" s="1"/>
  <c r="G49" i="14" s="1"/>
  <c r="G49" i="13"/>
  <c r="D62" i="13"/>
  <c r="J61" i="13"/>
  <c r="H50" i="12"/>
  <c r="E51" i="12" s="1"/>
  <c r="G51" i="12" s="1"/>
  <c r="D62" i="12"/>
  <c r="J61" i="12"/>
  <c r="D62" i="11"/>
  <c r="J61" i="11"/>
  <c r="H49" i="11"/>
  <c r="E50" i="11" s="1"/>
  <c r="D61" i="10"/>
  <c r="J60" i="10"/>
  <c r="P48" i="9"/>
  <c r="G49" i="9"/>
  <c r="D62" i="9"/>
  <c r="J61" i="9"/>
  <c r="P51" i="7"/>
  <c r="H51" i="7"/>
  <c r="E52" i="7" s="1"/>
  <c r="G52" i="7" s="1"/>
  <c r="D62" i="7"/>
  <c r="J61" i="7"/>
  <c r="G46" i="4"/>
  <c r="P45" i="4"/>
  <c r="P49" i="13" l="1"/>
  <c r="P49" i="10"/>
  <c r="H46" i="4"/>
  <c r="E47" i="4" s="1"/>
  <c r="G47" i="4" s="1"/>
  <c r="H51" i="12"/>
  <c r="E52" i="12" s="1"/>
  <c r="G52" i="12" s="1"/>
  <c r="F60" i="27"/>
  <c r="F60" i="4"/>
  <c r="O60" i="4" s="1"/>
  <c r="F60" i="24"/>
  <c r="H49" i="9"/>
  <c r="E50" i="9" s="1"/>
  <c r="H53" i="6"/>
  <c r="E54" i="6" s="1"/>
  <c r="G54" i="6" s="1"/>
  <c r="P54" i="6" s="1"/>
  <c r="O60" i="27"/>
  <c r="H49" i="10"/>
  <c r="E50" i="10" s="1"/>
  <c r="P55" i="27"/>
  <c r="D63" i="29"/>
  <c r="J62" i="29"/>
  <c r="D64" i="28"/>
  <c r="J64" i="28" s="1"/>
  <c r="J63" i="28"/>
  <c r="H55" i="27"/>
  <c r="E56" i="27" s="1"/>
  <c r="D64" i="27"/>
  <c r="J64" i="27" s="1"/>
  <c r="J63" i="27"/>
  <c r="D62" i="26"/>
  <c r="J61" i="26"/>
  <c r="G48" i="24"/>
  <c r="D64" i="23"/>
  <c r="J64" i="23" s="1"/>
  <c r="J63" i="23"/>
  <c r="J61" i="22"/>
  <c r="D62" i="22"/>
  <c r="J62" i="21"/>
  <c r="D63" i="21"/>
  <c r="D62" i="20"/>
  <c r="J61" i="20"/>
  <c r="J62" i="19"/>
  <c r="D63" i="19"/>
  <c r="D64" i="18"/>
  <c r="J64" i="18" s="1"/>
  <c r="J63" i="18"/>
  <c r="J62" i="17"/>
  <c r="D63" i="17"/>
  <c r="J62" i="16"/>
  <c r="D63" i="16"/>
  <c r="H50" i="15"/>
  <c r="E51" i="15" s="1"/>
  <c r="J62" i="15"/>
  <c r="D63" i="15"/>
  <c r="P49" i="15"/>
  <c r="H49" i="14"/>
  <c r="E50" i="14" s="1"/>
  <c r="G50" i="14" s="1"/>
  <c r="P49" i="14"/>
  <c r="H49" i="13"/>
  <c r="E50" i="13" s="1"/>
  <c r="D63" i="13"/>
  <c r="J62" i="13"/>
  <c r="P51" i="12"/>
  <c r="P52" i="12" s="1"/>
  <c r="D63" i="12"/>
  <c r="J62" i="12"/>
  <c r="G50" i="11"/>
  <c r="D63" i="11"/>
  <c r="J62" i="11"/>
  <c r="D62" i="10"/>
  <c r="J61" i="10"/>
  <c r="P49" i="9"/>
  <c r="G50" i="9"/>
  <c r="D63" i="9"/>
  <c r="J62" i="9"/>
  <c r="P46" i="4"/>
  <c r="H52" i="7"/>
  <c r="E53" i="7" s="1"/>
  <c r="G53" i="7" s="1"/>
  <c r="P52" i="7"/>
  <c r="D63" i="7"/>
  <c r="J62" i="7"/>
  <c r="H47" i="4" l="1"/>
  <c r="E48" i="4" s="1"/>
  <c r="G48" i="4" s="1"/>
  <c r="P48" i="24"/>
  <c r="F61" i="24"/>
  <c r="H54" i="6"/>
  <c r="E55" i="6" s="1"/>
  <c r="G55" i="6" s="1"/>
  <c r="F61" i="4"/>
  <c r="P50" i="11"/>
  <c r="O61" i="4"/>
  <c r="F61" i="27"/>
  <c r="O60" i="24"/>
  <c r="H50" i="9"/>
  <c r="E51" i="9" s="1"/>
  <c r="G50" i="10"/>
  <c r="H50" i="10" s="1"/>
  <c r="E51" i="10" s="1"/>
  <c r="H52" i="12"/>
  <c r="E53" i="12" s="1"/>
  <c r="D64" i="29"/>
  <c r="J64" i="29" s="1"/>
  <c r="J63" i="29"/>
  <c r="G56" i="27"/>
  <c r="J62" i="26"/>
  <c r="D63" i="26"/>
  <c r="H48" i="24"/>
  <c r="E49" i="24" s="1"/>
  <c r="D63" i="22"/>
  <c r="J62" i="22"/>
  <c r="D64" i="21"/>
  <c r="J64" i="21" s="1"/>
  <c r="J63" i="21"/>
  <c r="J62" i="20"/>
  <c r="D63" i="20"/>
  <c r="D64" i="19"/>
  <c r="J64" i="19" s="1"/>
  <c r="J63" i="19"/>
  <c r="D64" i="17"/>
  <c r="J64" i="17" s="1"/>
  <c r="J63" i="17"/>
  <c r="D64" i="16"/>
  <c r="J64" i="16" s="1"/>
  <c r="J63" i="16"/>
  <c r="P50" i="15"/>
  <c r="H51" i="15"/>
  <c r="E52" i="15" s="1"/>
  <c r="D64" i="15"/>
  <c r="J64" i="15" s="1"/>
  <c r="J63" i="15"/>
  <c r="H50" i="14"/>
  <c r="E51" i="14" s="1"/>
  <c r="G51" i="14" s="1"/>
  <c r="P50" i="14"/>
  <c r="G50" i="13"/>
  <c r="D64" i="13"/>
  <c r="J64" i="13" s="1"/>
  <c r="J63" i="13"/>
  <c r="D64" i="12"/>
  <c r="J64" i="12" s="1"/>
  <c r="J63" i="12"/>
  <c r="D64" i="11"/>
  <c r="J64" i="11" s="1"/>
  <c r="J63" i="11"/>
  <c r="H50" i="11"/>
  <c r="E51" i="11" s="1"/>
  <c r="D63" i="10"/>
  <c r="J62" i="10"/>
  <c r="G51" i="9"/>
  <c r="D64" i="9"/>
  <c r="J64" i="9" s="1"/>
  <c r="J63" i="9"/>
  <c r="P50" i="9"/>
  <c r="H53" i="7"/>
  <c r="E54" i="7" s="1"/>
  <c r="G54" i="7" s="1"/>
  <c r="P53" i="7"/>
  <c r="D64" i="7"/>
  <c r="J64" i="7" s="1"/>
  <c r="J63" i="7"/>
  <c r="P47" i="4"/>
  <c r="O61" i="24" l="1"/>
  <c r="H48" i="4"/>
  <c r="E49" i="4" s="1"/>
  <c r="G51" i="10"/>
  <c r="H51" i="10" s="1"/>
  <c r="E52" i="10" s="1"/>
  <c r="G53" i="12"/>
  <c r="H53" i="12"/>
  <c r="E54" i="12" s="1"/>
  <c r="P50" i="10"/>
  <c r="P51" i="10" s="1"/>
  <c r="F62" i="24"/>
  <c r="H51" i="14"/>
  <c r="E52" i="14" s="1"/>
  <c r="G52" i="14" s="1"/>
  <c r="P56" i="27"/>
  <c r="F62" i="27"/>
  <c r="F62" i="4"/>
  <c r="O61" i="27"/>
  <c r="H51" i="9"/>
  <c r="E52" i="9" s="1"/>
  <c r="P50" i="13"/>
  <c r="O62" i="4"/>
  <c r="H55" i="6"/>
  <c r="E56" i="6" s="1"/>
  <c r="G56" i="6" s="1"/>
  <c r="P55" i="6"/>
  <c r="H56" i="27"/>
  <c r="E57" i="27" s="1"/>
  <c r="D64" i="26"/>
  <c r="J64" i="26" s="1"/>
  <c r="J63" i="26"/>
  <c r="G49" i="24"/>
  <c r="D64" i="22"/>
  <c r="J64" i="22" s="1"/>
  <c r="J63" i="22"/>
  <c r="D64" i="20"/>
  <c r="J64" i="20" s="1"/>
  <c r="J63" i="20"/>
  <c r="P51" i="15"/>
  <c r="P51" i="14"/>
  <c r="H50" i="13"/>
  <c r="E51" i="13" s="1"/>
  <c r="G51" i="11"/>
  <c r="P51" i="9"/>
  <c r="D64" i="10"/>
  <c r="J63" i="10"/>
  <c r="G52" i="9"/>
  <c r="H54" i="7"/>
  <c r="E55" i="7" s="1"/>
  <c r="G55" i="7" s="1"/>
  <c r="P54" i="7"/>
  <c r="P48" i="4"/>
  <c r="G49" i="4"/>
  <c r="J12" i="33" a="1"/>
  <c r="F119" i="12"/>
  <c r="H12" i="33" a="1"/>
  <c r="G119" i="14"/>
  <c r="O62" i="27" l="1"/>
  <c r="F123" i="14"/>
  <c r="H12" i="33"/>
  <c r="J12" i="33"/>
  <c r="H52" i="14"/>
  <c r="H55" i="7"/>
  <c r="E56" i="7" s="1"/>
  <c r="H56" i="6"/>
  <c r="E57" i="6" s="1"/>
  <c r="G57" i="6" s="1"/>
  <c r="G54" i="12"/>
  <c r="H54" i="12" s="1"/>
  <c r="E55" i="12" s="1"/>
  <c r="F63" i="4"/>
  <c r="F63" i="24"/>
  <c r="P53" i="12"/>
  <c r="P54" i="12" s="1"/>
  <c r="P51" i="11"/>
  <c r="F63" i="27"/>
  <c r="G52" i="10"/>
  <c r="H52" i="10" s="1"/>
  <c r="E53" i="10" s="1"/>
  <c r="P49" i="24"/>
  <c r="P56" i="6"/>
  <c r="P57" i="6" s="1"/>
  <c r="O62" i="24"/>
  <c r="O63" i="24" s="1"/>
  <c r="G57" i="27"/>
  <c r="H49" i="24"/>
  <c r="E50" i="24" s="1"/>
  <c r="P52" i="14"/>
  <c r="P52" i="15"/>
  <c r="H52" i="15"/>
  <c r="E53" i="15" s="1"/>
  <c r="G51" i="13"/>
  <c r="P52" i="9"/>
  <c r="H51" i="11"/>
  <c r="E52" i="11" s="1"/>
  <c r="J64" i="10"/>
  <c r="H52" i="9"/>
  <c r="E53" i="9" s="1"/>
  <c r="P55" i="7"/>
  <c r="G56" i="7"/>
  <c r="P49" i="4"/>
  <c r="H49" i="4"/>
  <c r="E50" i="4" s="1"/>
  <c r="P57" i="27" l="1"/>
  <c r="P52" i="10"/>
  <c r="F64" i="24"/>
  <c r="P51" i="13"/>
  <c r="F64" i="27"/>
  <c r="F64" i="4"/>
  <c r="O63" i="27"/>
  <c r="O64" i="27" s="1"/>
  <c r="H56" i="7"/>
  <c r="E57" i="7" s="1"/>
  <c r="O63" i="4"/>
  <c r="H57" i="6"/>
  <c r="E58" i="6" s="1"/>
  <c r="G58" i="6" s="1"/>
  <c r="G53" i="10"/>
  <c r="P55" i="12"/>
  <c r="G55" i="12"/>
  <c r="H55" i="12"/>
  <c r="E56" i="12" s="1"/>
  <c r="G56" i="12" s="1"/>
  <c r="P56" i="12" s="1"/>
  <c r="H57" i="27"/>
  <c r="E58" i="27" s="1"/>
  <c r="G50" i="24"/>
  <c r="P53" i="15"/>
  <c r="H51" i="13"/>
  <c r="E52" i="13" s="1"/>
  <c r="G52" i="11"/>
  <c r="G53" i="9"/>
  <c r="P56" i="7"/>
  <c r="G57" i="7"/>
  <c r="G50" i="4"/>
  <c r="G130" i="27"/>
  <c r="H8" i="33" a="1"/>
  <c r="J8" i="33" a="1"/>
  <c r="F119" i="7"/>
  <c r="G130" i="24"/>
  <c r="G130" i="4"/>
  <c r="O64" i="4" l="1"/>
  <c r="J8" i="33"/>
  <c r="H8" i="33"/>
  <c r="P50" i="4"/>
  <c r="H58" i="6"/>
  <c r="E59" i="6" s="1"/>
  <c r="G59" i="6" s="1"/>
  <c r="F110" i="4"/>
  <c r="F110" i="24"/>
  <c r="P53" i="9"/>
  <c r="P52" i="11"/>
  <c r="P50" i="24"/>
  <c r="F110" i="27"/>
  <c r="P53" i="10"/>
  <c r="H56" i="12"/>
  <c r="E57" i="12" s="1"/>
  <c r="H53" i="10"/>
  <c r="E54" i="10" s="1"/>
  <c r="P58" i="6"/>
  <c r="P59" i="6" s="1"/>
  <c r="O64" i="24"/>
  <c r="G58" i="27"/>
  <c r="H50" i="24"/>
  <c r="E51" i="24" s="1"/>
  <c r="H53" i="15"/>
  <c r="E54" i="15" s="1"/>
  <c r="G52" i="13"/>
  <c r="G57" i="12"/>
  <c r="H52" i="11"/>
  <c r="E53" i="11" s="1"/>
  <c r="H53" i="9"/>
  <c r="E54" i="9" s="1"/>
  <c r="P57" i="7"/>
  <c r="H57" i="7"/>
  <c r="E58" i="7" s="1"/>
  <c r="H50" i="4"/>
  <c r="E51" i="4" s="1"/>
  <c r="J13" i="33" a="1"/>
  <c r="H13" i="33" a="1"/>
  <c r="F119" i="13"/>
  <c r="J7" i="33" a="1"/>
  <c r="H7" i="33" a="1"/>
  <c r="F119" i="6"/>
  <c r="H7" i="33" l="1"/>
  <c r="J7" i="33"/>
  <c r="H13" i="33"/>
  <c r="J13" i="33"/>
  <c r="G54" i="10"/>
  <c r="P57" i="12"/>
  <c r="P58" i="27"/>
  <c r="H59" i="6"/>
  <c r="E60" i="6" s="1"/>
  <c r="G60" i="6" s="1"/>
  <c r="P52" i="13"/>
  <c r="H58" i="27"/>
  <c r="E59" i="27" s="1"/>
  <c r="G59" i="27" s="1"/>
  <c r="G51" i="24"/>
  <c r="P54" i="15"/>
  <c r="H52" i="13"/>
  <c r="E53" i="13" s="1"/>
  <c r="G53" i="13" s="1"/>
  <c r="H57" i="12"/>
  <c r="E58" i="12" s="1"/>
  <c r="G53" i="11"/>
  <c r="G54" i="9"/>
  <c r="G58" i="7"/>
  <c r="G51" i="4"/>
  <c r="P58" i="7" l="1"/>
  <c r="H60" i="6"/>
  <c r="E61" i="6" s="1"/>
  <c r="G61" i="6" s="1"/>
  <c r="P54" i="9"/>
  <c r="H53" i="13"/>
  <c r="E54" i="13" s="1"/>
  <c r="P60" i="6"/>
  <c r="P59" i="27"/>
  <c r="P54" i="10"/>
  <c r="P51" i="4"/>
  <c r="P53" i="11"/>
  <c r="P51" i="24"/>
  <c r="H54" i="10"/>
  <c r="E55" i="10" s="1"/>
  <c r="H59" i="27"/>
  <c r="E60" i="27" s="1"/>
  <c r="G60" i="27" s="1"/>
  <c r="H51" i="24"/>
  <c r="E52" i="24" s="1"/>
  <c r="H54" i="15"/>
  <c r="E55" i="15" s="1"/>
  <c r="H55" i="15" s="1"/>
  <c r="E56" i="15" s="1"/>
  <c r="G54" i="13"/>
  <c r="P53" i="13"/>
  <c r="G58" i="12"/>
  <c r="H53" i="11"/>
  <c r="E54" i="11" s="1"/>
  <c r="G54" i="11" s="1"/>
  <c r="H54" i="9"/>
  <c r="E55" i="9" s="1"/>
  <c r="G55" i="9" s="1"/>
  <c r="H58" i="7"/>
  <c r="E59" i="7" s="1"/>
  <c r="H51" i="4"/>
  <c r="E52" i="4" s="1"/>
  <c r="J11" i="33" a="1"/>
  <c r="F119" i="11"/>
  <c r="H11" i="33" a="1"/>
  <c r="P61" i="6" l="1"/>
  <c r="H11" i="33"/>
  <c r="J11" i="33"/>
  <c r="P58" i="12"/>
  <c r="H60" i="27"/>
  <c r="E61" i="27" s="1"/>
  <c r="G61" i="27" s="1"/>
  <c r="H54" i="11"/>
  <c r="E55" i="11" s="1"/>
  <c r="H54" i="13"/>
  <c r="E55" i="13" s="1"/>
  <c r="G55" i="10"/>
  <c r="H55" i="10" s="1"/>
  <c r="E56" i="10" s="1"/>
  <c r="H61" i="6"/>
  <c r="E62" i="6" s="1"/>
  <c r="G62" i="6" s="1"/>
  <c r="P62" i="6" s="1"/>
  <c r="P60" i="27"/>
  <c r="G52" i="24"/>
  <c r="P54" i="13"/>
  <c r="H56" i="15"/>
  <c r="E57" i="15" s="1"/>
  <c r="P55" i="15"/>
  <c r="G55" i="13"/>
  <c r="H58" i="12"/>
  <c r="E59" i="12" s="1"/>
  <c r="P54" i="11"/>
  <c r="G55" i="11"/>
  <c r="H55" i="9"/>
  <c r="E56" i="9" s="1"/>
  <c r="G56" i="9" s="1"/>
  <c r="P55" i="9"/>
  <c r="G59" i="7"/>
  <c r="G52" i="4"/>
  <c r="J10" i="33" a="1"/>
  <c r="H10" i="33" a="1"/>
  <c r="F119" i="10"/>
  <c r="H10" i="33" l="1"/>
  <c r="J10" i="33"/>
  <c r="H61" i="27"/>
  <c r="E62" i="27" s="1"/>
  <c r="G62" i="27" s="1"/>
  <c r="P59" i="7"/>
  <c r="H55" i="13"/>
  <c r="E56" i="13" s="1"/>
  <c r="G56" i="10"/>
  <c r="H56" i="10" s="1"/>
  <c r="E57" i="10" s="1"/>
  <c r="P55" i="10"/>
  <c r="P52" i="4"/>
  <c r="H55" i="11"/>
  <c r="E56" i="11" s="1"/>
  <c r="G56" i="11" s="1"/>
  <c r="H62" i="6"/>
  <c r="E63" i="6" s="1"/>
  <c r="G63" i="6" s="1"/>
  <c r="P63" i="6" s="1"/>
  <c r="P61" i="27"/>
  <c r="P52" i="24"/>
  <c r="H52" i="24"/>
  <c r="E53" i="24" s="1"/>
  <c r="G53" i="24" s="1"/>
  <c r="P56" i="9"/>
  <c r="H57" i="15"/>
  <c r="E58" i="15" s="1"/>
  <c r="P56" i="15"/>
  <c r="G56" i="13"/>
  <c r="P55" i="13"/>
  <c r="G59" i="12"/>
  <c r="P55" i="11"/>
  <c r="H56" i="9"/>
  <c r="E57" i="9" s="1"/>
  <c r="G57" i="9" s="1"/>
  <c r="H59" i="7"/>
  <c r="E60" i="7" s="1"/>
  <c r="H52" i="4"/>
  <c r="E53" i="4" s="1"/>
  <c r="G57" i="10" l="1"/>
  <c r="H56" i="11"/>
  <c r="E57" i="11" s="1"/>
  <c r="G57" i="11" s="1"/>
  <c r="H56" i="13"/>
  <c r="E57" i="13" s="1"/>
  <c r="H53" i="24"/>
  <c r="E54" i="24" s="1"/>
  <c r="G54" i="24" s="1"/>
  <c r="H63" i="6"/>
  <c r="E64" i="6" s="1"/>
  <c r="P56" i="10"/>
  <c r="P57" i="10" s="1"/>
  <c r="P59" i="12"/>
  <c r="H62" i="27"/>
  <c r="E63" i="27" s="1"/>
  <c r="P57" i="9"/>
  <c r="P62" i="27"/>
  <c r="G63" i="27"/>
  <c r="P53" i="24"/>
  <c r="P54" i="24" s="1"/>
  <c r="P57" i="15"/>
  <c r="H58" i="15"/>
  <c r="E59" i="15" s="1"/>
  <c r="P56" i="13"/>
  <c r="G57" i="13"/>
  <c r="H59" i="12"/>
  <c r="E60" i="12" s="1"/>
  <c r="P56" i="11"/>
  <c r="H57" i="9"/>
  <c r="E58" i="9" s="1"/>
  <c r="G60" i="7"/>
  <c r="G53" i="4"/>
  <c r="H57" i="11" l="1"/>
  <c r="E58" i="11" s="1"/>
  <c r="G58" i="11" s="1"/>
  <c r="H63" i="27"/>
  <c r="E64" i="27" s="1"/>
  <c r="H54" i="24"/>
  <c r="E55" i="24" s="1"/>
  <c r="G55" i="24" s="1"/>
  <c r="P55" i="24" s="1"/>
  <c r="P53" i="4"/>
  <c r="P60" i="7"/>
  <c r="G64" i="6"/>
  <c r="H64" i="6"/>
  <c r="H57" i="10"/>
  <c r="E58" i="10" s="1"/>
  <c r="G58" i="10" s="1"/>
  <c r="P63" i="27"/>
  <c r="G64" i="27"/>
  <c r="P57" i="13"/>
  <c r="P58" i="15"/>
  <c r="H59" i="15"/>
  <c r="E60" i="15" s="1"/>
  <c r="P57" i="11"/>
  <c r="H57" i="13"/>
  <c r="E58" i="13" s="1"/>
  <c r="G60" i="12"/>
  <c r="G58" i="9"/>
  <c r="H60" i="7"/>
  <c r="E61" i="7" s="1"/>
  <c r="H53" i="4"/>
  <c r="E54" i="4" s="1"/>
  <c r="G119" i="6"/>
  <c r="G123" i="27"/>
  <c r="F123" i="27" l="1"/>
  <c r="F123" i="6"/>
  <c r="H58" i="11"/>
  <c r="E59" i="11" s="1"/>
  <c r="P58" i="9"/>
  <c r="P60" i="12"/>
  <c r="G110" i="27"/>
  <c r="E110" i="27" s="1"/>
  <c r="G110" i="6"/>
  <c r="E110" i="6" s="1"/>
  <c r="P64" i="6"/>
  <c r="H55" i="24"/>
  <c r="E56" i="24" s="1"/>
  <c r="G56" i="24" s="1"/>
  <c r="P56" i="24" s="1"/>
  <c r="H58" i="10"/>
  <c r="E59" i="10" s="1"/>
  <c r="G59" i="10" s="1"/>
  <c r="P58" i="10"/>
  <c r="P64" i="27"/>
  <c r="H64" i="27"/>
  <c r="P59" i="15"/>
  <c r="H60" i="15"/>
  <c r="E61" i="15" s="1"/>
  <c r="P58" i="11"/>
  <c r="G58" i="13"/>
  <c r="H60" i="12"/>
  <c r="E61" i="12" s="1"/>
  <c r="G61" i="12" s="1"/>
  <c r="G59" i="11"/>
  <c r="H58" i="9"/>
  <c r="E59" i="9" s="1"/>
  <c r="G61" i="7"/>
  <c r="G110" i="5"/>
  <c r="E110" i="5" s="1"/>
  <c r="G54" i="4"/>
  <c r="H61" i="12" l="1"/>
  <c r="E62" i="12" s="1"/>
  <c r="P54" i="4"/>
  <c r="P58" i="13"/>
  <c r="P59" i="10"/>
  <c r="H59" i="11"/>
  <c r="E60" i="11" s="1"/>
  <c r="H59" i="10"/>
  <c r="E60" i="10" s="1"/>
  <c r="P61" i="7"/>
  <c r="H56" i="24"/>
  <c r="E57" i="24" s="1"/>
  <c r="G57" i="24" s="1"/>
  <c r="P60" i="15"/>
  <c r="H61" i="15"/>
  <c r="E62" i="15" s="1"/>
  <c r="H58" i="13"/>
  <c r="E59" i="13" s="1"/>
  <c r="P59" i="11"/>
  <c r="G62" i="12"/>
  <c r="P61" i="12"/>
  <c r="G60" i="11"/>
  <c r="G59" i="9"/>
  <c r="H61" i="7"/>
  <c r="E62" i="7" s="1"/>
  <c r="H54" i="4"/>
  <c r="E55" i="4" s="1"/>
  <c r="G55" i="4" s="1"/>
  <c r="J9" i="33" a="1"/>
  <c r="H9" i="33" a="1"/>
  <c r="F119" i="9"/>
  <c r="H9" i="33" l="1"/>
  <c r="J9" i="33"/>
  <c r="H55" i="4"/>
  <c r="E56" i="4" s="1"/>
  <c r="H57" i="24"/>
  <c r="E58" i="24" s="1"/>
  <c r="G58" i="24" s="1"/>
  <c r="P57" i="24"/>
  <c r="H60" i="11"/>
  <c r="E61" i="11" s="1"/>
  <c r="P59" i="9"/>
  <c r="H62" i="12"/>
  <c r="E63" i="12" s="1"/>
  <c r="G63" i="12" s="1"/>
  <c r="G60" i="10"/>
  <c r="P60" i="10" s="1"/>
  <c r="H60" i="10"/>
  <c r="E61" i="10" s="1"/>
  <c r="P61" i="15"/>
  <c r="H62" i="15"/>
  <c r="E63" i="15" s="1"/>
  <c r="G59" i="13"/>
  <c r="P62" i="12"/>
  <c r="G61" i="11"/>
  <c r="P60" i="11"/>
  <c r="H59" i="9"/>
  <c r="E60" i="9" s="1"/>
  <c r="G62" i="7"/>
  <c r="P55" i="4"/>
  <c r="G56" i="4"/>
  <c r="H56" i="4" l="1"/>
  <c r="E57" i="4" s="1"/>
  <c r="G57" i="4" s="1"/>
  <c r="P59" i="13"/>
  <c r="H58" i="24"/>
  <c r="E59" i="24" s="1"/>
  <c r="P62" i="7"/>
  <c r="H61" i="11"/>
  <c r="E62" i="11" s="1"/>
  <c r="G61" i="10"/>
  <c r="H61" i="10" s="1"/>
  <c r="E62" i="10" s="1"/>
  <c r="P58" i="24"/>
  <c r="P62" i="15"/>
  <c r="H59" i="13"/>
  <c r="E60" i="13" s="1"/>
  <c r="P63" i="12"/>
  <c r="H63" i="12"/>
  <c r="E64" i="12" s="1"/>
  <c r="G64" i="12" s="1"/>
  <c r="P61" i="11"/>
  <c r="G62" i="11"/>
  <c r="G60" i="9"/>
  <c r="H62" i="7"/>
  <c r="E63" i="7" s="1"/>
  <c r="G63" i="7" s="1"/>
  <c r="P56" i="4"/>
  <c r="G119" i="12"/>
  <c r="F123" i="12" l="1"/>
  <c r="G62" i="10"/>
  <c r="H62" i="10"/>
  <c r="E63" i="10" s="1"/>
  <c r="G63" i="10" s="1"/>
  <c r="H62" i="11"/>
  <c r="E63" i="11" s="1"/>
  <c r="G59" i="24"/>
  <c r="P59" i="24" s="1"/>
  <c r="H59" i="24"/>
  <c r="E60" i="24" s="1"/>
  <c r="G60" i="24" s="1"/>
  <c r="H60" i="24" s="1"/>
  <c r="E61" i="24" s="1"/>
  <c r="G61" i="24" s="1"/>
  <c r="H61" i="24" s="1"/>
  <c r="E62" i="24" s="1"/>
  <c r="G62" i="24" s="1"/>
  <c r="H62" i="24" s="1"/>
  <c r="E63" i="24" s="1"/>
  <c r="G63" i="24" s="1"/>
  <c r="P60" i="9"/>
  <c r="G110" i="12"/>
  <c r="E110" i="12" s="1"/>
  <c r="P61" i="10"/>
  <c r="P63" i="15"/>
  <c r="H63" i="15"/>
  <c r="E64" i="15" s="1"/>
  <c r="G110" i="14"/>
  <c r="E110" i="14" s="1"/>
  <c r="G60" i="13"/>
  <c r="H64" i="12"/>
  <c r="P64" i="12"/>
  <c r="G63" i="11"/>
  <c r="P62" i="11"/>
  <c r="H63" i="10"/>
  <c r="E64" i="10" s="1"/>
  <c r="H60" i="9"/>
  <c r="E61" i="9" s="1"/>
  <c r="H63" i="7"/>
  <c r="E64" i="7" s="1"/>
  <c r="G64" i="7" s="1"/>
  <c r="P63" i="7"/>
  <c r="P57" i="4"/>
  <c r="H57" i="4"/>
  <c r="E58" i="4" s="1"/>
  <c r="G119" i="7"/>
  <c r="F123" i="7" l="1"/>
  <c r="P60" i="24"/>
  <c r="P61" i="24" s="1"/>
  <c r="P62" i="24" s="1"/>
  <c r="P63" i="24" s="1"/>
  <c r="P60" i="13"/>
  <c r="H63" i="24"/>
  <c r="E64" i="24" s="1"/>
  <c r="H63" i="11"/>
  <c r="E64" i="11" s="1"/>
  <c r="P62" i="10"/>
  <c r="P63" i="10" s="1"/>
  <c r="G64" i="24"/>
  <c r="H64" i="15"/>
  <c r="H60" i="13"/>
  <c r="E61" i="13" s="1"/>
  <c r="P63" i="11"/>
  <c r="G64" i="11"/>
  <c r="G64" i="10"/>
  <c r="G61" i="9"/>
  <c r="G110" i="7"/>
  <c r="E110" i="7" s="1"/>
  <c r="P64" i="7"/>
  <c r="H64" i="7"/>
  <c r="G58" i="4"/>
  <c r="G119" i="10"/>
  <c r="G123" i="24"/>
  <c r="G119" i="11"/>
  <c r="F123" i="11" l="1"/>
  <c r="F123" i="24"/>
  <c r="F123" i="10"/>
  <c r="G110" i="11"/>
  <c r="E110" i="11" s="1"/>
  <c r="H64" i="24"/>
  <c r="P58" i="4"/>
  <c r="P61" i="9"/>
  <c r="P64" i="10"/>
  <c r="G110" i="24"/>
  <c r="E110" i="24" s="1"/>
  <c r="P64" i="24"/>
  <c r="G110" i="15"/>
  <c r="E110" i="15" s="1"/>
  <c r="P64" i="15"/>
  <c r="G61" i="13"/>
  <c r="P64" i="11"/>
  <c r="H64" i="11"/>
  <c r="H64" i="10"/>
  <c r="H61" i="9"/>
  <c r="E62" i="9" s="1"/>
  <c r="H58" i="4"/>
  <c r="E59" i="4" s="1"/>
  <c r="P61" i="13" l="1"/>
  <c r="H61" i="13"/>
  <c r="E62" i="13" s="1"/>
  <c r="G62" i="9"/>
  <c r="G59" i="4"/>
  <c r="P59" i="4" l="1"/>
  <c r="P62" i="9"/>
  <c r="G62" i="13"/>
  <c r="G110" i="10"/>
  <c r="E110" i="10" s="1"/>
  <c r="H62" i="9"/>
  <c r="E63" i="9" s="1"/>
  <c r="G63" i="9" s="1"/>
  <c r="H59" i="4"/>
  <c r="E60" i="4" s="1"/>
  <c r="P62" i="13" l="1"/>
  <c r="H62" i="13"/>
  <c r="E63" i="13" s="1"/>
  <c r="G63" i="13" s="1"/>
  <c r="H63" i="9"/>
  <c r="E64" i="9" s="1"/>
  <c r="G64" i="9" s="1"/>
  <c r="P63" i="9"/>
  <c r="G60" i="4"/>
  <c r="P60" i="4" l="1"/>
  <c r="H64" i="9"/>
  <c r="E65" i="9" s="1"/>
  <c r="G65" i="9" s="1"/>
  <c r="H63" i="13"/>
  <c r="E64" i="13" s="1"/>
  <c r="G64" i="13" s="1"/>
  <c r="P63" i="13"/>
  <c r="P64" i="9"/>
  <c r="H60" i="4"/>
  <c r="E61" i="4" s="1"/>
  <c r="G119" i="13"/>
  <c r="F123" i="13" l="1"/>
  <c r="P65" i="9"/>
  <c r="G110" i="13"/>
  <c r="E110" i="13" s="1"/>
  <c r="P64" i="13"/>
  <c r="H65" i="9"/>
  <c r="E66" i="9" s="1"/>
  <c r="G66" i="9" s="1"/>
  <c r="H64" i="13"/>
  <c r="G61" i="4"/>
  <c r="P61" i="4" l="1"/>
  <c r="H66" i="9"/>
  <c r="E67" i="9" s="1"/>
  <c r="G67" i="9" s="1"/>
  <c r="P66" i="9"/>
  <c r="P67" i="9" s="1"/>
  <c r="G110" i="9"/>
  <c r="E110" i="9" s="1"/>
  <c r="H61" i="4"/>
  <c r="E62" i="4" s="1"/>
  <c r="G62" i="4" s="1"/>
  <c r="G119" i="9"/>
  <c r="F123" i="9" l="1"/>
  <c r="H67" i="9"/>
  <c r="P62" i="4"/>
  <c r="H62" i="4"/>
  <c r="E63" i="4" s="1"/>
  <c r="G63" i="4" s="1"/>
  <c r="H63" i="4" l="1"/>
  <c r="E64" i="4" s="1"/>
  <c r="G64" i="4" s="1"/>
  <c r="P63" i="4"/>
  <c r="G123" i="4"/>
  <c r="F123" i="4" l="1"/>
  <c r="G110" i="4"/>
  <c r="E110" i="4" s="1"/>
  <c r="H64" i="4"/>
  <c r="P64" i="4"/>
  <c r="D31" i="3" l="1"/>
  <c r="J30" i="3"/>
  <c r="D30" i="3"/>
  <c r="J29" i="3"/>
  <c r="F16" i="3"/>
  <c r="C29" i="3"/>
  <c r="C30" i="3" s="1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C44" i="3" s="1"/>
  <c r="C45" i="3" s="1"/>
  <c r="C46" i="3" s="1"/>
  <c r="C47" i="3" s="1"/>
  <c r="C48" i="3" s="1"/>
  <c r="C49" i="3" s="1"/>
  <c r="C50" i="3" s="1"/>
  <c r="C51" i="3" s="1"/>
  <c r="C52" i="3" s="1"/>
  <c r="C53" i="3" s="1"/>
  <c r="C54" i="3" s="1"/>
  <c r="C55" i="3" s="1"/>
  <c r="C56" i="3" s="1"/>
  <c r="C57" i="3" s="1"/>
  <c r="C58" i="3" s="1"/>
  <c r="C59" i="3" s="1"/>
  <c r="C60" i="3" s="1"/>
  <c r="C61" i="3" s="1"/>
  <c r="C62" i="3" s="1"/>
  <c r="C63" i="3" s="1"/>
  <c r="C64" i="3" s="1"/>
  <c r="C65" i="3" l="1"/>
  <c r="C66" i="3" s="1"/>
  <c r="C67" i="3" s="1"/>
  <c r="C68" i="3" s="1"/>
  <c r="C69" i="3" s="1"/>
  <c r="C70" i="3" s="1"/>
  <c r="C71" i="3" s="1"/>
  <c r="C72" i="3" s="1"/>
  <c r="C73" i="3" s="1"/>
  <c r="C74" i="3" s="1"/>
  <c r="C75" i="3" s="1"/>
  <c r="C76" i="3" s="1"/>
  <c r="C77" i="3" s="1"/>
  <c r="C78" i="3" s="1"/>
  <c r="C79" i="3" s="1"/>
  <c r="C80" i="3" s="1"/>
  <c r="C81" i="3" s="1"/>
  <c r="C82" i="3" s="1"/>
  <c r="C83" i="3" s="1"/>
  <c r="C84" i="3" s="1"/>
  <c r="C85" i="3" s="1"/>
  <c r="C86" i="3" s="1"/>
  <c r="C87" i="3" s="1"/>
  <c r="C88" i="3" s="1"/>
  <c r="C89" i="3" s="1"/>
  <c r="C90" i="3" s="1"/>
  <c r="C91" i="3" s="1"/>
  <c r="C92" i="3" s="1"/>
  <c r="C93" i="3" s="1"/>
  <c r="C94" i="3" s="1"/>
  <c r="C95" i="3" s="1"/>
  <c r="C96" i="3" s="1"/>
  <c r="C97" i="3" s="1"/>
  <c r="C98" i="3" s="1"/>
  <c r="C99" i="3" s="1"/>
  <c r="C100" i="3" s="1"/>
  <c r="C101" i="3" s="1"/>
  <c r="C102" i="3" s="1"/>
  <c r="C103" i="3" s="1"/>
  <c r="C104" i="3" s="1"/>
  <c r="C105" i="3" s="1"/>
  <c r="C106" i="3" s="1"/>
  <c r="C107" i="3" s="1"/>
  <c r="F22" i="3"/>
  <c r="F29" i="3"/>
  <c r="J31" i="3"/>
  <c r="D32" i="3"/>
  <c r="F10" i="3"/>
  <c r="F11" i="3"/>
  <c r="D7" i="2"/>
  <c r="J29" i="2"/>
  <c r="L123" i="3" a="1"/>
  <c r="L123" i="3" l="1"/>
  <c r="O29" i="3"/>
  <c r="F30" i="3"/>
  <c r="F12" i="3"/>
  <c r="D33" i="3"/>
  <c r="J32" i="3"/>
  <c r="D30" i="2"/>
  <c r="E11" i="2"/>
  <c r="E10" i="2"/>
  <c r="D10" i="2"/>
  <c r="F29" i="2"/>
  <c r="F16" i="2"/>
  <c r="F31" i="3" l="1"/>
  <c r="C29" i="2"/>
  <c r="C30" i="2" s="1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C49" i="2" s="1"/>
  <c r="C50" i="2" s="1"/>
  <c r="C51" i="2" s="1"/>
  <c r="C52" i="2" s="1"/>
  <c r="C53" i="2" s="1"/>
  <c r="C54" i="2" s="1"/>
  <c r="C55" i="2" s="1"/>
  <c r="C56" i="2" s="1"/>
  <c r="C57" i="2" s="1"/>
  <c r="C58" i="2" s="1"/>
  <c r="C59" i="2" s="1"/>
  <c r="C60" i="2" s="1"/>
  <c r="C61" i="2" s="1"/>
  <c r="C62" i="2" s="1"/>
  <c r="C63" i="2" s="1"/>
  <c r="C64" i="2" s="1"/>
  <c r="O30" i="3"/>
  <c r="O31" i="3" s="1"/>
  <c r="D34" i="3"/>
  <c r="J33" i="3"/>
  <c r="H22" i="3"/>
  <c r="F17" i="3"/>
  <c r="O29" i="2"/>
  <c r="D31" i="2"/>
  <c r="J30" i="2"/>
  <c r="F13" i="2"/>
  <c r="F22" i="2"/>
  <c r="F30" i="2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  <c r="F47" i="2" s="1"/>
  <c r="F48" i="2" s="1"/>
  <c r="F49" i="2" s="1"/>
  <c r="F50" i="2" s="1"/>
  <c r="F51" i="2" s="1"/>
  <c r="F52" i="2" s="1"/>
  <c r="F53" i="2" s="1"/>
  <c r="F54" i="2" s="1"/>
  <c r="F55" i="2" s="1"/>
  <c r="F56" i="2" s="1"/>
  <c r="F57" i="2" s="1"/>
  <c r="F58" i="2" s="1"/>
  <c r="F59" i="2" s="1"/>
  <c r="F60" i="2" s="1"/>
  <c r="F61" i="2" s="1"/>
  <c r="F62" i="2" s="1"/>
  <c r="F63" i="2" s="1"/>
  <c r="F64" i="2" s="1"/>
  <c r="F11" i="2"/>
  <c r="F10" i="2"/>
  <c r="I3" i="33" a="1"/>
  <c r="J119" i="3" a="1"/>
  <c r="I26" i="33" a="1"/>
  <c r="G129" i="2"/>
  <c r="I26" i="33" l="1"/>
  <c r="J119" i="3"/>
  <c r="I3" i="33"/>
  <c r="C11" i="33" s="1"/>
  <c r="C65" i="2"/>
  <c r="C66" i="2" s="1"/>
  <c r="C67" i="2" s="1"/>
  <c r="C68" i="2" s="1"/>
  <c r="C69" i="2" s="1"/>
  <c r="C70" i="2" s="1"/>
  <c r="C71" i="2" s="1"/>
  <c r="C72" i="2" s="1"/>
  <c r="C73" i="2" s="1"/>
  <c r="C74" i="2" s="1"/>
  <c r="C75" i="2" s="1"/>
  <c r="C76" i="2" s="1"/>
  <c r="C77" i="2" s="1"/>
  <c r="C78" i="2" s="1"/>
  <c r="C79" i="2" s="1"/>
  <c r="C80" i="2" s="1"/>
  <c r="C81" i="2" s="1"/>
  <c r="C82" i="2" s="1"/>
  <c r="C83" i="2" s="1"/>
  <c r="C84" i="2" s="1"/>
  <c r="C85" i="2" s="1"/>
  <c r="C86" i="2" s="1"/>
  <c r="C87" i="2" s="1"/>
  <c r="C88" i="2" s="1"/>
  <c r="C89" i="2" s="1"/>
  <c r="C90" i="2" s="1"/>
  <c r="C91" i="2" s="1"/>
  <c r="C92" i="2" s="1"/>
  <c r="C93" i="2" s="1"/>
  <c r="C94" i="2" s="1"/>
  <c r="C95" i="2" s="1"/>
  <c r="C96" i="2" s="1"/>
  <c r="F32" i="3"/>
  <c r="D35" i="3"/>
  <c r="J34" i="3"/>
  <c r="E29" i="3"/>
  <c r="M22" i="3"/>
  <c r="F110" i="2"/>
  <c r="O30" i="2"/>
  <c r="O31" i="2" s="1"/>
  <c r="O32" i="2" s="1"/>
  <c r="O33" i="2" s="1"/>
  <c r="O34" i="2" s="1"/>
  <c r="O35" i="2" s="1"/>
  <c r="O36" i="2" s="1"/>
  <c r="O37" i="2" s="1"/>
  <c r="O38" i="2" s="1"/>
  <c r="O39" i="2" s="1"/>
  <c r="O40" i="2" s="1"/>
  <c r="O41" i="2" s="1"/>
  <c r="O42" i="2" s="1"/>
  <c r="O43" i="2" s="1"/>
  <c r="O44" i="2" s="1"/>
  <c r="O45" i="2" s="1"/>
  <c r="O46" i="2" s="1"/>
  <c r="O47" i="2" s="1"/>
  <c r="O48" i="2" s="1"/>
  <c r="O49" i="2" s="1"/>
  <c r="O50" i="2" s="1"/>
  <c r="O51" i="2" s="1"/>
  <c r="O52" i="2" s="1"/>
  <c r="O53" i="2" s="1"/>
  <c r="O54" i="2" s="1"/>
  <c r="O55" i="2" s="1"/>
  <c r="O56" i="2" s="1"/>
  <c r="O57" i="2" s="1"/>
  <c r="O58" i="2" s="1"/>
  <c r="O59" i="2" s="1"/>
  <c r="O60" i="2" s="1"/>
  <c r="O61" i="2" s="1"/>
  <c r="O62" i="2" s="1"/>
  <c r="O63" i="2" s="1"/>
  <c r="O64" i="2" s="1"/>
  <c r="D32" i="2"/>
  <c r="J31" i="2"/>
  <c r="F12" i="2"/>
  <c r="G130" i="2"/>
  <c r="G123" i="2"/>
  <c r="G3" i="33" a="1"/>
  <c r="G3" i="33" l="1"/>
  <c r="F33" i="3"/>
  <c r="O32" i="3"/>
  <c r="O33" i="3" s="1"/>
  <c r="C97" i="2"/>
  <c r="C98" i="2" s="1"/>
  <c r="C99" i="2" s="1"/>
  <c r="C100" i="2" s="1"/>
  <c r="C101" i="2" s="1"/>
  <c r="C102" i="2" s="1"/>
  <c r="C103" i="2" s="1"/>
  <c r="C104" i="2" s="1"/>
  <c r="C105" i="2" s="1"/>
  <c r="C106" i="2" s="1"/>
  <c r="C107" i="2" s="1"/>
  <c r="D36" i="3"/>
  <c r="J35" i="3"/>
  <c r="L58" i="3"/>
  <c r="L50" i="3"/>
  <c r="L42" i="3"/>
  <c r="L34" i="3"/>
  <c r="L37" i="3"/>
  <c r="L61" i="3"/>
  <c r="L53" i="3"/>
  <c r="L45" i="3"/>
  <c r="L59" i="3"/>
  <c r="L51" i="3"/>
  <c r="L43" i="3"/>
  <c r="L35" i="3"/>
  <c r="L31" i="3"/>
  <c r="L38" i="3"/>
  <c r="L29" i="3"/>
  <c r="L64" i="3"/>
  <c r="L62" i="3"/>
  <c r="L30" i="3"/>
  <c r="L52" i="3"/>
  <c r="L47" i="3"/>
  <c r="L63" i="3"/>
  <c r="L60" i="3"/>
  <c r="L57" i="3"/>
  <c r="L56" i="3"/>
  <c r="L54" i="3"/>
  <c r="L55" i="3"/>
  <c r="L49" i="3"/>
  <c r="L48" i="3"/>
  <c r="L46" i="3"/>
  <c r="L44" i="3"/>
  <c r="L41" i="3"/>
  <c r="L40" i="3"/>
  <c r="L32" i="3"/>
  <c r="L36" i="3"/>
  <c r="K29" i="3"/>
  <c r="L33" i="3"/>
  <c r="L39" i="3"/>
  <c r="G29" i="3"/>
  <c r="F17" i="2"/>
  <c r="H22" i="2"/>
  <c r="D33" i="2"/>
  <c r="J32" i="2"/>
  <c r="K3" i="33" a="1"/>
  <c r="F3" i="33" a="1"/>
  <c r="F3" i="33" l="1"/>
  <c r="K3" i="33"/>
  <c r="F116" i="3"/>
  <c r="Q29" i="3"/>
  <c r="F34" i="3"/>
  <c r="O34" i="3" s="1"/>
  <c r="M29" i="3"/>
  <c r="K30" i="3" s="1"/>
  <c r="M30" i="3" s="1"/>
  <c r="K31" i="3" s="1"/>
  <c r="M31" i="3" s="1"/>
  <c r="P29" i="3"/>
  <c r="H29" i="3"/>
  <c r="E30" i="3" s="1"/>
  <c r="Q30" i="3"/>
  <c r="Q31" i="3" s="1"/>
  <c r="Q32" i="3" s="1"/>
  <c r="Q33" i="3" s="1"/>
  <c r="Q34" i="3" s="1"/>
  <c r="Q35" i="3" s="1"/>
  <c r="Q36" i="3" s="1"/>
  <c r="Q37" i="3" s="1"/>
  <c r="Q38" i="3" s="1"/>
  <c r="Q39" i="3" s="1"/>
  <c r="Q40" i="3" s="1"/>
  <c r="Q41" i="3" s="1"/>
  <c r="Q42" i="3" s="1"/>
  <c r="Q43" i="3" s="1"/>
  <c r="Q44" i="3" s="1"/>
  <c r="Q45" i="3" s="1"/>
  <c r="Q46" i="3" s="1"/>
  <c r="Q47" i="3" s="1"/>
  <c r="Q48" i="3" s="1"/>
  <c r="Q49" i="3" s="1"/>
  <c r="Q50" i="3" s="1"/>
  <c r="Q51" i="3" s="1"/>
  <c r="Q52" i="3" s="1"/>
  <c r="Q53" i="3" s="1"/>
  <c r="Q54" i="3" s="1"/>
  <c r="Q55" i="3" s="1"/>
  <c r="Q56" i="3" s="1"/>
  <c r="Q57" i="3" s="1"/>
  <c r="Q58" i="3" s="1"/>
  <c r="Q59" i="3" s="1"/>
  <c r="Q60" i="3" s="1"/>
  <c r="Q61" i="3" s="1"/>
  <c r="Q62" i="3" s="1"/>
  <c r="Q63" i="3" s="1"/>
  <c r="Q64" i="3" s="1"/>
  <c r="D37" i="3"/>
  <c r="J36" i="3"/>
  <c r="D34" i="2"/>
  <c r="J33" i="2"/>
  <c r="M22" i="2"/>
  <c r="E29" i="2"/>
  <c r="G29" i="2" s="1"/>
  <c r="K32" i="3" l="1"/>
  <c r="M32" i="3" s="1"/>
  <c r="K33" i="3" s="1"/>
  <c r="M33" i="3" s="1"/>
  <c r="K34" i="3" s="1"/>
  <c r="M34" i="3" s="1"/>
  <c r="K35" i="3" s="1"/>
  <c r="M35" i="3" s="1"/>
  <c r="K36" i="3" s="1"/>
  <c r="M36" i="3" s="1"/>
  <c r="K37" i="3" s="1"/>
  <c r="M37" i="3" s="1"/>
  <c r="K38" i="3" s="1"/>
  <c r="M38" i="3" s="1"/>
  <c r="K39" i="3" s="1"/>
  <c r="M39" i="3" s="1"/>
  <c r="K40" i="3" s="1"/>
  <c r="M40" i="3" s="1"/>
  <c r="K41" i="3" s="1"/>
  <c r="M41" i="3" s="1"/>
  <c r="K42" i="3" s="1"/>
  <c r="M42" i="3" s="1"/>
  <c r="K43" i="3" s="1"/>
  <c r="M43" i="3" s="1"/>
  <c r="K44" i="3" s="1"/>
  <c r="M44" i="3" s="1"/>
  <c r="K45" i="3" s="1"/>
  <c r="M45" i="3" s="1"/>
  <c r="K46" i="3" s="1"/>
  <c r="M46" i="3" s="1"/>
  <c r="K47" i="3" s="1"/>
  <c r="M47" i="3" s="1"/>
  <c r="K48" i="3" s="1"/>
  <c r="M48" i="3" s="1"/>
  <c r="K49" i="3" s="1"/>
  <c r="M49" i="3" s="1"/>
  <c r="K50" i="3" s="1"/>
  <c r="M50" i="3" s="1"/>
  <c r="K51" i="3" s="1"/>
  <c r="M51" i="3" s="1"/>
  <c r="K52" i="3" s="1"/>
  <c r="M52" i="3" s="1"/>
  <c r="K53" i="3" s="1"/>
  <c r="M53" i="3" s="1"/>
  <c r="K54" i="3" s="1"/>
  <c r="M54" i="3" s="1"/>
  <c r="K55" i="3" s="1"/>
  <c r="M55" i="3" s="1"/>
  <c r="K56" i="3" s="1"/>
  <c r="M56" i="3" s="1"/>
  <c r="K57" i="3" s="1"/>
  <c r="M57" i="3" s="1"/>
  <c r="K58" i="3" s="1"/>
  <c r="M58" i="3" s="1"/>
  <c r="K59" i="3" s="1"/>
  <c r="M59" i="3" s="1"/>
  <c r="K60" i="3" s="1"/>
  <c r="M60" i="3" s="1"/>
  <c r="K61" i="3" s="1"/>
  <c r="M61" i="3" s="1"/>
  <c r="K62" i="3" s="1"/>
  <c r="M62" i="3" s="1"/>
  <c r="K63" i="3" s="1"/>
  <c r="M63" i="3" s="1"/>
  <c r="K64" i="3" s="1"/>
  <c r="M64" i="3" s="1"/>
  <c r="G116" i="3"/>
  <c r="F35" i="3"/>
  <c r="G30" i="3"/>
  <c r="D38" i="3"/>
  <c r="J37" i="3"/>
  <c r="P29" i="2"/>
  <c r="L45" i="2"/>
  <c r="L53" i="2"/>
  <c r="L61" i="2"/>
  <c r="L37" i="2"/>
  <c r="L32" i="2"/>
  <c r="L34" i="2"/>
  <c r="L36" i="2"/>
  <c r="L38" i="2"/>
  <c r="L46" i="2"/>
  <c r="L54" i="2"/>
  <c r="L62" i="2"/>
  <c r="L30" i="2"/>
  <c r="L56" i="2"/>
  <c r="L58" i="2"/>
  <c r="L60" i="2"/>
  <c r="L39" i="2"/>
  <c r="L47" i="2"/>
  <c r="L55" i="2"/>
  <c r="L63" i="2"/>
  <c r="L31" i="2"/>
  <c r="L40" i="2"/>
  <c r="L48" i="2"/>
  <c r="L64" i="2"/>
  <c r="L44" i="2"/>
  <c r="L41" i="2"/>
  <c r="L49" i="2"/>
  <c r="L57" i="2"/>
  <c r="L33" i="2"/>
  <c r="L42" i="2"/>
  <c r="L50" i="2"/>
  <c r="L52" i="2"/>
  <c r="L43" i="2"/>
  <c r="L51" i="2"/>
  <c r="L59" i="2"/>
  <c r="L35" i="2"/>
  <c r="K29" i="2"/>
  <c r="L29" i="2"/>
  <c r="D35" i="2"/>
  <c r="J34" i="2"/>
  <c r="K26" i="33" a="1"/>
  <c r="K26" i="33" l="1"/>
  <c r="F36" i="3"/>
  <c r="O35" i="3"/>
  <c r="O36" i="3" s="1"/>
  <c r="P30" i="3"/>
  <c r="D39" i="3"/>
  <c r="J38" i="3"/>
  <c r="H30" i="3"/>
  <c r="E31" i="3" s="1"/>
  <c r="D36" i="2"/>
  <c r="J35" i="2"/>
  <c r="C15" i="33" l="1"/>
  <c r="C14" i="33"/>
  <c r="F37" i="3"/>
  <c r="G31" i="3"/>
  <c r="D40" i="3"/>
  <c r="J39" i="3"/>
  <c r="D37" i="2"/>
  <c r="J36" i="2"/>
  <c r="B121" i="3" a="1"/>
  <c r="K123" i="3" a="1"/>
  <c r="I122" i="3" a="1"/>
  <c r="H3" i="33" a="1"/>
  <c r="I119" i="3" a="1"/>
  <c r="F119" i="3"/>
  <c r="J3" i="33" a="1"/>
  <c r="J3" i="33" l="1"/>
  <c r="I119" i="3"/>
  <c r="H3" i="33"/>
  <c r="I122" i="3"/>
  <c r="K123" i="3"/>
  <c r="B121" i="3"/>
  <c r="P31" i="3"/>
  <c r="F38" i="3"/>
  <c r="O37" i="3"/>
  <c r="H31" i="3"/>
  <c r="E32" i="3" s="1"/>
  <c r="G32" i="3" s="1"/>
  <c r="D41" i="3"/>
  <c r="J40" i="3"/>
  <c r="D38" i="2"/>
  <c r="J37" i="2"/>
  <c r="P32" i="3" l="1"/>
  <c r="F39" i="3"/>
  <c r="O38" i="3"/>
  <c r="O39" i="3" s="1"/>
  <c r="D42" i="3"/>
  <c r="J41" i="3"/>
  <c r="H32" i="3"/>
  <c r="E33" i="3" s="1"/>
  <c r="D39" i="2"/>
  <c r="J38" i="2"/>
  <c r="F40" i="3" l="1"/>
  <c r="G33" i="3"/>
  <c r="D43" i="3"/>
  <c r="J42" i="3"/>
  <c r="D40" i="2"/>
  <c r="J39" i="2"/>
  <c r="F41" i="3" l="1"/>
  <c r="O40" i="3"/>
  <c r="O41" i="3" s="1"/>
  <c r="P33" i="3"/>
  <c r="D44" i="3"/>
  <c r="J43" i="3"/>
  <c r="H33" i="3"/>
  <c r="E34" i="3" s="1"/>
  <c r="D41" i="2"/>
  <c r="J40" i="2"/>
  <c r="F42" i="3" l="1"/>
  <c r="O42" i="3" s="1"/>
  <c r="G34" i="3"/>
  <c r="D45" i="3"/>
  <c r="J44" i="3"/>
  <c r="D42" i="2"/>
  <c r="J41" i="2"/>
  <c r="F43" i="3" l="1"/>
  <c r="P34" i="3"/>
  <c r="D46" i="3"/>
  <c r="J45" i="3"/>
  <c r="H34" i="3"/>
  <c r="E35" i="3" s="1"/>
  <c r="D43" i="2"/>
  <c r="J42" i="2"/>
  <c r="G129" i="3"/>
  <c r="F44" i="3" l="1"/>
  <c r="O43" i="3"/>
  <c r="O44" i="3" s="1"/>
  <c r="G35" i="3"/>
  <c r="D47" i="3"/>
  <c r="J46" i="3"/>
  <c r="D44" i="2"/>
  <c r="J43" i="2"/>
  <c r="P35" i="3" l="1"/>
  <c r="F45" i="3"/>
  <c r="H35" i="3"/>
  <c r="E36" i="3" s="1"/>
  <c r="G36" i="3" s="1"/>
  <c r="D48" i="3"/>
  <c r="J47" i="3"/>
  <c r="D45" i="2"/>
  <c r="J44" i="2"/>
  <c r="H36" i="3" l="1"/>
  <c r="E37" i="3" s="1"/>
  <c r="F46" i="3"/>
  <c r="O45" i="3"/>
  <c r="O46" i="3" s="1"/>
  <c r="P36" i="3"/>
  <c r="G37" i="3"/>
  <c r="J48" i="3"/>
  <c r="D49" i="3"/>
  <c r="D46" i="2"/>
  <c r="J45" i="2"/>
  <c r="F47" i="3" l="1"/>
  <c r="H37" i="3"/>
  <c r="E38" i="3" s="1"/>
  <c r="P37" i="3"/>
  <c r="G38" i="3"/>
  <c r="D50" i="3"/>
  <c r="J49" i="3"/>
  <c r="D47" i="2"/>
  <c r="J46" i="2"/>
  <c r="F48" i="3" l="1"/>
  <c r="O47" i="3"/>
  <c r="O48" i="3" s="1"/>
  <c r="H38" i="3"/>
  <c r="E39" i="3" s="1"/>
  <c r="G39" i="3" s="1"/>
  <c r="P38" i="3"/>
  <c r="J50" i="3"/>
  <c r="D51" i="3"/>
  <c r="D48" i="2"/>
  <c r="J47" i="2"/>
  <c r="F49" i="3" l="1"/>
  <c r="H39" i="3"/>
  <c r="E40" i="3" s="1"/>
  <c r="P39" i="3"/>
  <c r="G40" i="3"/>
  <c r="J51" i="3"/>
  <c r="D52" i="3"/>
  <c r="D49" i="2"/>
  <c r="J48" i="2"/>
  <c r="F50" i="3" l="1"/>
  <c r="O49" i="3"/>
  <c r="O50" i="3" s="1"/>
  <c r="H40" i="3"/>
  <c r="E41" i="3" s="1"/>
  <c r="G41" i="3" s="1"/>
  <c r="P40" i="3"/>
  <c r="D53" i="3"/>
  <c r="J52" i="3"/>
  <c r="D50" i="2"/>
  <c r="J49" i="2"/>
  <c r="F51" i="3" l="1"/>
  <c r="H41" i="3"/>
  <c r="E42" i="3" s="1"/>
  <c r="G42" i="3" s="1"/>
  <c r="P41" i="3"/>
  <c r="D54" i="3"/>
  <c r="J53" i="3"/>
  <c r="D51" i="2"/>
  <c r="J50" i="2"/>
  <c r="F52" i="3" l="1"/>
  <c r="O51" i="3"/>
  <c r="O52" i="3" s="1"/>
  <c r="H42" i="3"/>
  <c r="E43" i="3" s="1"/>
  <c r="G43" i="3" s="1"/>
  <c r="P42" i="3"/>
  <c r="J54" i="3"/>
  <c r="D55" i="3"/>
  <c r="D52" i="2"/>
  <c r="J51" i="2"/>
  <c r="G119" i="3"/>
  <c r="F53" i="3" l="1"/>
  <c r="O53" i="3" s="1"/>
  <c r="H43" i="3"/>
  <c r="E44" i="3" s="1"/>
  <c r="G44" i="3" s="1"/>
  <c r="P43" i="3"/>
  <c r="D56" i="3"/>
  <c r="J55" i="3"/>
  <c r="D53" i="2"/>
  <c r="J52" i="2"/>
  <c r="H44" i="3" l="1"/>
  <c r="E45" i="3" s="1"/>
  <c r="F54" i="3"/>
  <c r="P44" i="3"/>
  <c r="G45" i="3"/>
  <c r="J56" i="3"/>
  <c r="D57" i="3"/>
  <c r="D54" i="2"/>
  <c r="J53" i="2"/>
  <c r="F55" i="3" l="1"/>
  <c r="O54" i="3"/>
  <c r="O55" i="3" s="1"/>
  <c r="H45" i="3"/>
  <c r="E46" i="3" s="1"/>
  <c r="G46" i="3" s="1"/>
  <c r="P45" i="3"/>
  <c r="J57" i="3"/>
  <c r="D58" i="3"/>
  <c r="D55" i="2"/>
  <c r="J54" i="2"/>
  <c r="F56" i="3" l="1"/>
  <c r="P46" i="3"/>
  <c r="H46" i="3"/>
  <c r="E47" i="3" s="1"/>
  <c r="J58" i="3"/>
  <c r="D59" i="3"/>
  <c r="D56" i="2"/>
  <c r="J55" i="2"/>
  <c r="F57" i="3" l="1"/>
  <c r="O56" i="3"/>
  <c r="O57" i="3" s="1"/>
  <c r="J59" i="3"/>
  <c r="D60" i="3"/>
  <c r="G47" i="3"/>
  <c r="D57" i="2"/>
  <c r="J56" i="2"/>
  <c r="P47" i="3" l="1"/>
  <c r="F58" i="3"/>
  <c r="O58" i="3" s="1"/>
  <c r="H47" i="3"/>
  <c r="E48" i="3" s="1"/>
  <c r="G48" i="3" s="1"/>
  <c r="D61" i="3"/>
  <c r="J60" i="3"/>
  <c r="D58" i="2"/>
  <c r="J57" i="2"/>
  <c r="P48" i="3" l="1"/>
  <c r="F59" i="3"/>
  <c r="H48" i="3"/>
  <c r="E49" i="3" s="1"/>
  <c r="G49" i="3" s="1"/>
  <c r="D62" i="3"/>
  <c r="J61" i="3"/>
  <c r="D59" i="2"/>
  <c r="J58" i="2"/>
  <c r="F60" i="3" l="1"/>
  <c r="P49" i="3"/>
  <c r="O59" i="3"/>
  <c r="O60" i="3" s="1"/>
  <c r="H49" i="3"/>
  <c r="E50" i="3" s="1"/>
  <c r="J62" i="3"/>
  <c r="D63" i="3"/>
  <c r="D60" i="2"/>
  <c r="J59" i="2"/>
  <c r="F61" i="3" l="1"/>
  <c r="D64" i="3"/>
  <c r="J64" i="3" s="1"/>
  <c r="J63" i="3"/>
  <c r="G50" i="3"/>
  <c r="D61" i="2"/>
  <c r="J60" i="2"/>
  <c r="F62" i="3" l="1"/>
  <c r="P50" i="3"/>
  <c r="O61" i="3"/>
  <c r="O62" i="3" s="1"/>
  <c r="H50" i="3"/>
  <c r="E51" i="3" s="1"/>
  <c r="D62" i="2"/>
  <c r="J61" i="2"/>
  <c r="F63" i="3" l="1"/>
  <c r="G51" i="3"/>
  <c r="D63" i="2"/>
  <c r="J62" i="2"/>
  <c r="P51" i="3" l="1"/>
  <c r="F64" i="3"/>
  <c r="O63" i="3"/>
  <c r="O64" i="3" s="1"/>
  <c r="H51" i="3"/>
  <c r="E52" i="3" s="1"/>
  <c r="G52" i="3" s="1"/>
  <c r="D64" i="2"/>
  <c r="J64" i="2" s="1"/>
  <c r="J63" i="2"/>
  <c r="G130" i="3"/>
  <c r="H52" i="3" l="1"/>
  <c r="E53" i="3" s="1"/>
  <c r="F110" i="3"/>
  <c r="P52" i="3"/>
  <c r="G53" i="3"/>
  <c r="H53" i="3" l="1"/>
  <c r="E54" i="3" s="1"/>
  <c r="P53" i="3"/>
  <c r="G54" i="3"/>
  <c r="P54" i="3" l="1"/>
  <c r="H54" i="3"/>
  <c r="E55" i="3" s="1"/>
  <c r="G55" i="3" s="1"/>
  <c r="P55" i="3" l="1"/>
  <c r="H55" i="3"/>
  <c r="E56" i="3" s="1"/>
  <c r="G56" i="3" l="1"/>
  <c r="P56" i="3" l="1"/>
  <c r="H56" i="3"/>
  <c r="E57" i="3" s="1"/>
  <c r="G57" i="3" l="1"/>
  <c r="P57" i="3" l="1"/>
  <c r="H57" i="3"/>
  <c r="E58" i="3" s="1"/>
  <c r="G58" i="3" l="1"/>
  <c r="P58" i="3" l="1"/>
  <c r="H58" i="3"/>
  <c r="E59" i="3" s="1"/>
  <c r="G59" i="3" l="1"/>
  <c r="P59" i="3" l="1"/>
  <c r="H59" i="3"/>
  <c r="E60" i="3" s="1"/>
  <c r="G60" i="3" l="1"/>
  <c r="P60" i="3" l="1"/>
  <c r="H60" i="3"/>
  <c r="E61" i="3" s="1"/>
  <c r="G61" i="3" l="1"/>
  <c r="P61" i="3" l="1"/>
  <c r="H61" i="3"/>
  <c r="E62" i="3" s="1"/>
  <c r="G62" i="3" l="1"/>
  <c r="P62" i="3" l="1"/>
  <c r="H62" i="3"/>
  <c r="E63" i="3" s="1"/>
  <c r="G63" i="3" s="1"/>
  <c r="H63" i="3" l="1"/>
  <c r="E64" i="3" s="1"/>
  <c r="G64" i="3" s="1"/>
  <c r="P63" i="3"/>
  <c r="G123" i="3"/>
  <c r="F123" i="3" l="1"/>
  <c r="G110" i="3"/>
  <c r="E110" i="3" s="1"/>
  <c r="H64" i="3"/>
  <c r="P64" i="3"/>
  <c r="H29" i="2" l="1"/>
  <c r="E30" i="2" s="1"/>
  <c r="G30" i="2" s="1"/>
  <c r="P30" i="2" l="1"/>
  <c r="H30" i="2"/>
  <c r="E31" i="2" s="1"/>
  <c r="G31" i="2" s="1"/>
  <c r="P31" i="2" l="1"/>
  <c r="H31" i="2"/>
  <c r="E32" i="2" s="1"/>
  <c r="G32" i="2" s="1"/>
  <c r="P32" i="2" l="1"/>
  <c r="H32" i="2"/>
  <c r="E33" i="2" s="1"/>
  <c r="G33" i="2" s="1"/>
  <c r="P33" i="2" l="1"/>
  <c r="H33" i="2"/>
  <c r="E34" i="2" s="1"/>
  <c r="G34" i="2" s="1"/>
  <c r="P34" i="2" l="1"/>
  <c r="H34" i="2"/>
  <c r="E35" i="2" s="1"/>
  <c r="G35" i="2" s="1"/>
  <c r="P35" i="2" l="1"/>
  <c r="H35" i="2"/>
  <c r="E36" i="2" s="1"/>
  <c r="G36" i="2" s="1"/>
  <c r="P36" i="2" l="1"/>
  <c r="H36" i="2"/>
  <c r="E37" i="2" s="1"/>
  <c r="G37" i="2" s="1"/>
  <c r="P37" i="2" l="1"/>
  <c r="H37" i="2"/>
  <c r="E38" i="2" s="1"/>
  <c r="G38" i="2" s="1"/>
  <c r="P38" i="2" l="1"/>
  <c r="H38" i="2"/>
  <c r="E39" i="2" s="1"/>
  <c r="G39" i="2" s="1"/>
  <c r="P39" i="2" l="1"/>
  <c r="H39" i="2"/>
  <c r="E40" i="2" s="1"/>
  <c r="G40" i="2" s="1"/>
  <c r="P40" i="2" l="1"/>
  <c r="H40" i="2"/>
  <c r="E41" i="2" s="1"/>
  <c r="G41" i="2" s="1"/>
  <c r="P41" i="2" l="1"/>
  <c r="H41" i="2"/>
  <c r="E42" i="2" s="1"/>
  <c r="G42" i="2" s="1"/>
  <c r="P42" i="2" l="1"/>
  <c r="H42" i="2"/>
  <c r="E43" i="2" s="1"/>
  <c r="G43" i="2" s="1"/>
  <c r="P43" i="2" l="1"/>
  <c r="H43" i="2"/>
  <c r="E44" i="2" s="1"/>
  <c r="G26" i="33" a="1"/>
  <c r="G26" i="33" l="1"/>
  <c r="C5" i="33" s="1"/>
  <c r="G44" i="2"/>
  <c r="P44" i="2" s="1"/>
  <c r="H44" i="2"/>
  <c r="E45" i="2" s="1"/>
  <c r="G45" i="2" s="1"/>
  <c r="P45" i="2" l="1"/>
  <c r="H45" i="2"/>
  <c r="E46" i="2" s="1"/>
  <c r="G46" i="2" s="1"/>
  <c r="P46" i="2" l="1"/>
  <c r="H46" i="2"/>
  <c r="E47" i="2" s="1"/>
  <c r="G47" i="2" s="1"/>
  <c r="P47" i="2" l="1"/>
  <c r="H47" i="2"/>
  <c r="E48" i="2" s="1"/>
  <c r="G48" i="2" s="1"/>
  <c r="P48" i="2" l="1"/>
  <c r="H48" i="2"/>
  <c r="E49" i="2" s="1"/>
  <c r="G49" i="2" s="1"/>
  <c r="P49" i="2" l="1"/>
  <c r="H49" i="2"/>
  <c r="E50" i="2" s="1"/>
  <c r="G50" i="2" s="1"/>
  <c r="P50" i="2" l="1"/>
  <c r="H50" i="2"/>
  <c r="E51" i="2" s="1"/>
  <c r="G51" i="2" s="1"/>
  <c r="P51" i="2" l="1"/>
  <c r="H51" i="2"/>
  <c r="E52" i="2" s="1"/>
  <c r="G52" i="2" s="1"/>
  <c r="P52" i="2" l="1"/>
  <c r="H52" i="2"/>
  <c r="E53" i="2" s="1"/>
  <c r="G53" i="2" s="1"/>
  <c r="P53" i="2" l="1"/>
  <c r="H53" i="2"/>
  <c r="E54" i="2" s="1"/>
  <c r="G54" i="2" s="1"/>
  <c r="P54" i="2" l="1"/>
  <c r="H54" i="2"/>
  <c r="E55" i="2" s="1"/>
  <c r="G55" i="2" s="1"/>
  <c r="F119" i="2"/>
  <c r="H26" i="33" a="1"/>
  <c r="J26" i="33" a="1"/>
  <c r="J26" i="33" l="1"/>
  <c r="C10" i="33" s="1"/>
  <c r="H26" i="33"/>
  <c r="C9" i="33" s="1"/>
  <c r="P55" i="2"/>
  <c r="H55" i="2"/>
  <c r="E56" i="2" s="1"/>
  <c r="G56" i="2" s="1"/>
  <c r="P56" i="2" l="1"/>
  <c r="H56" i="2"/>
  <c r="E57" i="2" s="1"/>
  <c r="G57" i="2" s="1"/>
  <c r="P57" i="2" l="1"/>
  <c r="H57" i="2"/>
  <c r="E58" i="2" s="1"/>
  <c r="G58" i="2" s="1"/>
  <c r="P58" i="2" l="1"/>
  <c r="H58" i="2"/>
  <c r="E59" i="2" s="1"/>
  <c r="G59" i="2" s="1"/>
  <c r="P59" i="2" l="1"/>
  <c r="H59" i="2"/>
  <c r="E60" i="2" s="1"/>
  <c r="G60" i="2" s="1"/>
  <c r="P60" i="2" l="1"/>
  <c r="H60" i="2"/>
  <c r="E61" i="2" s="1"/>
  <c r="G61" i="2" s="1"/>
  <c r="P61" i="2" l="1"/>
  <c r="H61" i="2"/>
  <c r="E62" i="2" s="1"/>
  <c r="G62" i="2" s="1"/>
  <c r="P62" i="2" l="1"/>
  <c r="H62" i="2"/>
  <c r="E63" i="2" s="1"/>
  <c r="G63" i="2" s="1"/>
  <c r="P63" i="2" l="1"/>
  <c r="H63" i="2"/>
  <c r="E64" i="2" s="1"/>
  <c r="G64" i="2" s="1"/>
  <c r="G119" i="2"/>
  <c r="F123" i="2" l="1"/>
  <c r="G110" i="2"/>
  <c r="E110" i="2" s="1"/>
  <c r="P64" i="2"/>
  <c r="H64" i="2" l="1"/>
  <c r="Q29" i="2"/>
  <c r="Q30" i="2" s="1"/>
  <c r="Q31" i="2" s="1"/>
  <c r="Q32" i="2" s="1"/>
  <c r="Q33" i="2" s="1"/>
  <c r="Q34" i="2" s="1"/>
  <c r="Q35" i="2" s="1"/>
  <c r="Q36" i="2" s="1"/>
  <c r="Q37" i="2" s="1"/>
  <c r="M29" i="2"/>
  <c r="K30" i="2" s="1"/>
  <c r="M30" i="2" s="1"/>
  <c r="K31" i="2" s="1"/>
  <c r="M31" i="2" s="1"/>
  <c r="K32" i="2" s="1"/>
  <c r="M32" i="2" s="1"/>
  <c r="K33" i="2" s="1"/>
  <c r="M33" i="2" s="1"/>
  <c r="K34" i="2" s="1"/>
  <c r="M34" i="2" s="1"/>
  <c r="K35" i="2" s="1"/>
  <c r="M35" i="2" s="1"/>
  <c r="K36" i="2" l="1"/>
  <c r="M36" i="2" s="1"/>
  <c r="K37" i="2" s="1"/>
  <c r="M37" i="2" s="1"/>
  <c r="K38" i="2" s="1"/>
  <c r="Q38" i="2"/>
  <c r="Q39" i="2" s="1"/>
  <c r="Q40" i="2" s="1"/>
  <c r="Q41" i="2" s="1"/>
  <c r="Q42" i="2" s="1"/>
  <c r="Q43" i="2" s="1"/>
  <c r="Q44" i="2" s="1"/>
  <c r="Q45" i="2" s="1"/>
  <c r="Q46" i="2" s="1"/>
  <c r="Q47" i="2" s="1"/>
  <c r="Q48" i="2" s="1"/>
  <c r="Q49" i="2" s="1"/>
  <c r="Q50" i="2" s="1"/>
  <c r="Q51" i="2" s="1"/>
  <c r="Q52" i="2" s="1"/>
  <c r="Q53" i="2" s="1"/>
  <c r="Q54" i="2" s="1"/>
  <c r="Q55" i="2" s="1"/>
  <c r="Q56" i="2" s="1"/>
  <c r="Q57" i="2" s="1"/>
  <c r="Q58" i="2" s="1"/>
  <c r="Q59" i="2" s="1"/>
  <c r="Q60" i="2" s="1"/>
  <c r="Q61" i="2" s="1"/>
  <c r="Q62" i="2" s="1"/>
  <c r="Q63" i="2" s="1"/>
  <c r="Q64" i="2" s="1"/>
  <c r="M38" i="2" l="1"/>
  <c r="K39" i="2" s="1"/>
  <c r="M39" i="2" s="1"/>
  <c r="K40" i="2" s="1"/>
  <c r="M40" i="2" s="1"/>
  <c r="K41" i="2" s="1"/>
  <c r="M41" i="2" s="1"/>
  <c r="K42" i="2" s="1"/>
  <c r="M42" i="2" s="1"/>
  <c r="K43" i="2" s="1"/>
  <c r="M43" i="2" s="1"/>
  <c r="K44" i="2" s="1"/>
  <c r="F26" i="33" a="1"/>
  <c r="F26" i="33" l="1"/>
  <c r="C4" i="33" s="1"/>
  <c r="C6" i="33" s="1"/>
  <c r="M44" i="2"/>
  <c r="K45" i="2" s="1"/>
  <c r="M45" i="2" s="1"/>
  <c r="K46" i="2" s="1"/>
  <c r="M46" i="2" s="1"/>
  <c r="K47" i="2" s="1"/>
  <c r="M47" i="2" s="1"/>
  <c r="K48" i="2" s="1"/>
  <c r="M48" i="2" s="1"/>
  <c r="K49" i="2" s="1"/>
  <c r="M49" i="2" s="1"/>
  <c r="K50" i="2" s="1"/>
  <c r="M50" i="2" s="1"/>
  <c r="K51" i="2" s="1"/>
  <c r="M51" i="2" s="1"/>
  <c r="K52" i="2" s="1"/>
  <c r="M52" i="2" s="1"/>
  <c r="K53" i="2" s="1"/>
  <c r="M53" i="2" s="1"/>
  <c r="K54" i="2" s="1"/>
  <c r="M54" i="2" s="1"/>
  <c r="K55" i="2" s="1"/>
  <c r="M55" i="2" s="1"/>
  <c r="F116" i="2"/>
  <c r="K56" i="2" l="1"/>
  <c r="M56" i="2" s="1"/>
  <c r="K57" i="2" s="1"/>
  <c r="M57" i="2" s="1"/>
  <c r="K58" i="2" s="1"/>
  <c r="M58" i="2" s="1"/>
  <c r="K59" i="2" s="1"/>
  <c r="M59" i="2" s="1"/>
  <c r="K60" i="2" s="1"/>
  <c r="M60" i="2" s="1"/>
  <c r="K61" i="2" s="1"/>
  <c r="M61" i="2" s="1"/>
  <c r="K62" i="2" s="1"/>
  <c r="M62" i="2" s="1"/>
  <c r="K63" i="2" s="1"/>
  <c r="M63" i="2" s="1"/>
  <c r="K64" i="2" s="1"/>
  <c r="M64" i="2" s="1"/>
  <c r="G116" i="2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<sst xmlns="http://schemas.openxmlformats.org/spreadsheetml/2006/main" count="2367" uniqueCount="258">
  <si>
    <t>Tab</t>
  </si>
  <si>
    <t>2021 Opening ROU Balance</t>
  </si>
  <si>
    <t>2021 Opening Lease Liabilities Balance</t>
  </si>
  <si>
    <t>2021 Lease Liability Change</t>
  </si>
  <si>
    <t>2021 Lease Payment Change</t>
  </si>
  <si>
    <t>2021 Lease Interest Incurred</t>
  </si>
  <si>
    <t>2021 Depreciation</t>
  </si>
  <si>
    <t>Opening Balance in 2021</t>
  </si>
  <si>
    <t>DR/(CR)</t>
  </si>
  <si>
    <t>1. Sengkang</t>
  </si>
  <si>
    <t>ROU Asset</t>
  </si>
  <si>
    <t>3. Westmall</t>
  </si>
  <si>
    <t>Lease Liabilities</t>
  </si>
  <si>
    <t>4. CTL</t>
  </si>
  <si>
    <t>Opening R/E</t>
  </si>
  <si>
    <t>5. City Sq</t>
  </si>
  <si>
    <t>8. JEM</t>
  </si>
  <si>
    <t>2021 Lease Payments</t>
  </si>
  <si>
    <t>9. PBJ</t>
  </si>
  <si>
    <t>10. PSQ</t>
  </si>
  <si>
    <t>Lease Interest</t>
  </si>
  <si>
    <t>11. Lot1</t>
  </si>
  <si>
    <t>Rental</t>
  </si>
  <si>
    <t>12. KWHFC</t>
  </si>
  <si>
    <t>13. JSC</t>
  </si>
  <si>
    <t>2021 Lease Depreciation</t>
  </si>
  <si>
    <t>14. Viva</t>
  </si>
  <si>
    <t>15. Figaro</t>
  </si>
  <si>
    <t>Depreciation</t>
  </si>
  <si>
    <t>16. HIM</t>
  </si>
  <si>
    <t>17. TMP</t>
  </si>
  <si>
    <t>18. CWP</t>
  </si>
  <si>
    <t>19. FPH</t>
  </si>
  <si>
    <t>20. NPT</t>
  </si>
  <si>
    <t>21. FSP</t>
  </si>
  <si>
    <t>22. PM HFC</t>
  </si>
  <si>
    <t>23. PWP</t>
  </si>
  <si>
    <t>25. BRPP</t>
  </si>
  <si>
    <t>26. FC</t>
  </si>
  <si>
    <t>27. Oriole</t>
  </si>
  <si>
    <t>33. Straits</t>
  </si>
  <si>
    <t>39. SMU</t>
  </si>
  <si>
    <t>41. BDH</t>
  </si>
  <si>
    <t>44. 7BL</t>
  </si>
  <si>
    <t>45. Westcom</t>
  </si>
  <si>
    <t>No</t>
  </si>
  <si>
    <t>Profit Center</t>
  </si>
  <si>
    <t>Brand</t>
  </si>
  <si>
    <t>Outlet</t>
  </si>
  <si>
    <t>Address</t>
  </si>
  <si>
    <t>Lease Starts</t>
  </si>
  <si>
    <t>Ends</t>
  </si>
  <si>
    <t>Rate</t>
  </si>
  <si>
    <t>Option to Renewal</t>
  </si>
  <si>
    <t>10BASGA010</t>
  </si>
  <si>
    <t>PastaMania</t>
  </si>
  <si>
    <t>Seng Kang (SKG)</t>
  </si>
  <si>
    <t>57 Anchorvale Road #02-02 Singapore 544964</t>
  </si>
  <si>
    <t>No option to renew</t>
  </si>
  <si>
    <t>10BASGA002</t>
  </si>
  <si>
    <t>Cineleisure (CNL)</t>
  </si>
  <si>
    <t>8 Grange Road #02-23/23A Cathay Cineleisure Singapore 239695</t>
  </si>
  <si>
    <t>(Closed)</t>
  </si>
  <si>
    <t>10BASGA005</t>
  </si>
  <si>
    <t>Westmall (WM)</t>
  </si>
  <si>
    <t>1 Bukit Batok Central Link #01-40 Singapore 658713</t>
  </si>
  <si>
    <t>14CASGA023</t>
  </si>
  <si>
    <t xml:space="preserve">Kraftwich </t>
  </si>
  <si>
    <t>6 Eu Tong Sent Street #01-53/54/61/62/63 The Central Singapore 059817</t>
  </si>
  <si>
    <t>10BASGA013</t>
  </si>
  <si>
    <t>City Square Mall (CSM)</t>
  </si>
  <si>
    <t>180 Kitchener Road #02-21/22 Singapore 208539</t>
  </si>
  <si>
    <t>10GASGA018</t>
  </si>
  <si>
    <t>Nordcom2 Cloud Kitchen (NC2)</t>
  </si>
  <si>
    <t>Nordcom 2 28 Gambas Crescent  Level 3, Kitchen #1 Singapore 757012</t>
  </si>
  <si>
    <t>(No fixed component)</t>
  </si>
  <si>
    <t>12BASGA019</t>
  </si>
  <si>
    <t>Commons</t>
  </si>
  <si>
    <t>Jewel (JWL)</t>
  </si>
  <si>
    <t>78 Airport Boulevard Singapore 819666</t>
  </si>
  <si>
    <t>10BASGA011</t>
  </si>
  <si>
    <t>JEM (JEM)</t>
  </si>
  <si>
    <t>50 Jurong Gateway Road #04-26 Singapore 608549</t>
  </si>
  <si>
    <t>Option stated but with no amount</t>
  </si>
  <si>
    <t>10BASGA009</t>
  </si>
  <si>
    <t>Parco Bugis Junction (PBJ)</t>
  </si>
  <si>
    <t>Bugis Junction 200 Victoria Street #B1-08 Singapore 188024</t>
  </si>
  <si>
    <t>14CASGA024</t>
  </si>
  <si>
    <t>Kraftwich</t>
  </si>
  <si>
    <t>Paya Lebar Square (PSQ)</t>
  </si>
  <si>
    <t>60 Paya Lebar Road #01-09/10/11 Paya Lebar Square Singapore 409051</t>
  </si>
  <si>
    <t>10BASGA006</t>
  </si>
  <si>
    <t>CCK Lot 1 (CCK)</t>
  </si>
  <si>
    <t>LOT ONE 21 Chua Chu Kang  Ave 4, #03-02A Singapore 689812</t>
  </si>
  <si>
    <t>14CASGA022</t>
  </si>
  <si>
    <t>Harbourfront Centre</t>
  </si>
  <si>
    <t>1 Maritime Square #01-58/59/60 Harbourfront Centre Singapore 099253</t>
  </si>
  <si>
    <t>10BASGA012</t>
  </si>
  <si>
    <t>Jurong Swimming Complex (JSC)</t>
  </si>
  <si>
    <t>21 Jurong East Street 31  (Jurong East Sports &amp; Recreation Centre) #01-01 Singapore 609517</t>
  </si>
  <si>
    <t>10BASGA016</t>
  </si>
  <si>
    <t>Viva Delivery Hub (VDH)</t>
  </si>
  <si>
    <t>750 Chai Chee Road Viva Business Park #01-12 Singapore 469000</t>
  </si>
  <si>
    <t>28HASGB005</t>
  </si>
  <si>
    <t>Zac Butchery</t>
  </si>
  <si>
    <t>Zac Butchery Figaro (FIG)</t>
  </si>
  <si>
    <t>1B Figaro Street Singapore 458322</t>
  </si>
  <si>
    <t>10BASGA017</t>
  </si>
  <si>
    <t>Hillion Mall (HIM)</t>
  </si>
  <si>
    <t>17 Petir Road #B2-48/49/50 Singapore 678278</t>
  </si>
  <si>
    <t>See A28</t>
  </si>
  <si>
    <t>10BASGA003</t>
  </si>
  <si>
    <t>Tampines Mall (TMP)</t>
  </si>
  <si>
    <t>4 Tampines Central 5 #04-21/22 Tampines Mall Singapore 529510</t>
  </si>
  <si>
    <t>10BASGA001</t>
  </si>
  <si>
    <t>Causeway point (CWP)</t>
  </si>
  <si>
    <t>1 Woodlands Square #B1-20 Singapore 738099</t>
  </si>
  <si>
    <t>10BASGA015</t>
  </si>
  <si>
    <t>Fairprice Hub (FPH)</t>
  </si>
  <si>
    <t>Fairprice Hub 1 Joo Koon Circle #01-41,47,48 Singapore 629117</t>
  </si>
  <si>
    <t>10BASGA008</t>
  </si>
  <si>
    <t>Northpoint City (NPT)</t>
  </si>
  <si>
    <t>930 Yishun Ave 2 #03-01/02 NorthPoint Shopping Centre NorthPoint Shopping Centre</t>
  </si>
  <si>
    <t>11CASGA020</t>
  </si>
  <si>
    <t>KW X Pronto</t>
  </si>
  <si>
    <t>Fusionopolis One  (FSP)</t>
  </si>
  <si>
    <t>1 Fusionopolis Way, #01-04 Singapore 138632</t>
  </si>
  <si>
    <t>10BASGA004</t>
  </si>
  <si>
    <t>Harbourfront Centre (HFC)</t>
  </si>
  <si>
    <t>1 Maritime Square,  #02-05/06/07 Harbour Front Centre Singapore 099253</t>
  </si>
  <si>
    <t>11CASGA021</t>
  </si>
  <si>
    <t>Parkway Parade (PWP)</t>
  </si>
  <si>
    <t>80 Marine Parade Road #B1-83C Singapore 449269</t>
  </si>
  <si>
    <t>17AASGA102</t>
  </si>
  <si>
    <t>Kinki Restaurant &amp; Bar</t>
  </si>
  <si>
    <t>Customs House</t>
  </si>
  <si>
    <t>70, #02-02 Collyer Quay, Customs House, 049323</t>
  </si>
  <si>
    <t>(Either % of T/O or fixed)</t>
  </si>
  <si>
    <t>16AASGA101</t>
  </si>
  <si>
    <t>Bedrock Bar &amp; Grill</t>
  </si>
  <si>
    <t>Pan Pacific</t>
  </si>
  <si>
    <t>96 Somerset Road #01-05</t>
  </si>
  <si>
    <t>15AASGA100</t>
  </si>
  <si>
    <t>Fat Cow</t>
  </si>
  <si>
    <t>Camden Medical Centre</t>
  </si>
  <si>
    <t>#01-01/02  Camden Medical Centre</t>
  </si>
  <si>
    <t>18BASGA104</t>
  </si>
  <si>
    <t xml:space="preserve">Oriole Coffee + Bar </t>
  </si>
  <si>
    <t>Pan Pacific Oriole</t>
  </si>
  <si>
    <t>96 Somerset Road #01-01</t>
  </si>
  <si>
    <t>19BASGA106</t>
  </si>
  <si>
    <t xml:space="preserve">The Marmalade Pantry </t>
  </si>
  <si>
    <t>ION</t>
  </si>
  <si>
    <t>32 ION Orchard, 2 Orchard Turn, Singapore 218213  #04-11A&amp;27-32</t>
  </si>
  <si>
    <t>19FASGA109</t>
  </si>
  <si>
    <t>Novena</t>
  </si>
  <si>
    <t>8 Sinaran Drive
#01-02/04, Oasis Hotel Novena
Singapore 307470</t>
  </si>
  <si>
    <t>% Rent</t>
  </si>
  <si>
    <t>19FASGA112</t>
  </si>
  <si>
    <t>Downtown</t>
  </si>
  <si>
    <t>100 Peck Seah Street, 
#01-01 Oasia Hotel Downtown
Singapore 079333</t>
  </si>
  <si>
    <t>23FASGA200</t>
  </si>
  <si>
    <t>Saltwater</t>
  </si>
  <si>
    <t>Village Hotel Changi</t>
  </si>
  <si>
    <t>1 Netheravon Rd
Village Hotel Changi, Level 1
Singapore 508502</t>
  </si>
  <si>
    <t>25FASGA207</t>
  </si>
  <si>
    <t>Katong Kitchen</t>
  </si>
  <si>
    <t>Village Hotel Katong</t>
  </si>
  <si>
    <t>25 Marine Parade 
Village Hotel Katong, Level 4
Singapore 449536</t>
  </si>
  <si>
    <t>24FASGA204</t>
  </si>
  <si>
    <t>Straits Café</t>
  </si>
  <si>
    <t>Rendezvous Hotel</t>
  </si>
  <si>
    <t>9 Bras Basah Rd
Rendezvous Hotel Singapore, Level 1
Singapore 189559</t>
  </si>
  <si>
    <t>26FASGA210</t>
  </si>
  <si>
    <t>Native Kitchen</t>
  </si>
  <si>
    <t>Village Hotel Sentosa</t>
  </si>
  <si>
    <t>10 Artillery Avenue
Village Hotel at Sentosa, Lobby Level
Singapore 099951</t>
  </si>
  <si>
    <t>22EASGA105</t>
  </si>
  <si>
    <t>CIN CIN</t>
  </si>
  <si>
    <t xml:space="preserve"> Oasia Hotel Downtown</t>
  </si>
  <si>
    <t>100 Peck Seah Street
#01-02 
Singapore 079333</t>
  </si>
  <si>
    <t>10BASGA027</t>
  </si>
  <si>
    <t>Kallang Wave Mall</t>
  </si>
  <si>
    <t>1 Stadium Place, 
#01-21/K10 Kallang Wave at the Singapore Sports Hub,
Singapore 397628</t>
  </si>
  <si>
    <t>14CASGA025</t>
  </si>
  <si>
    <t>Marina One</t>
  </si>
  <si>
    <t>5 Straits View
#B2-31/32 Marina One The Heart
Singapore 018935</t>
  </si>
  <si>
    <t>10BASGA014</t>
  </si>
  <si>
    <t>SMU</t>
  </si>
  <si>
    <t>70 Stamford Road, #B1-47 SMU, Li Ka Shing Building , 178901 Singapore</t>
  </si>
  <si>
    <t>20CASGA116</t>
  </si>
  <si>
    <t>TMP</t>
  </si>
  <si>
    <t>TMP SMU</t>
  </si>
  <si>
    <t>10BASGA007</t>
  </si>
  <si>
    <t>Pastamania</t>
  </si>
  <si>
    <t>PM Bishan Junction 8</t>
  </si>
  <si>
    <t>9 Bishan Place
#01-37 Junction 8
Singapore 579837</t>
  </si>
  <si>
    <t>10GASGA028</t>
  </si>
  <si>
    <t>PM Bishan Jalan Pemimpin</t>
  </si>
  <si>
    <t>Smart City Kitchen 
59 Jalan Pemimipin 
#01-03 &amp; 01-04, S(577218)</t>
  </si>
  <si>
    <t>16AASGA115</t>
  </si>
  <si>
    <t>Bedrock</t>
  </si>
  <si>
    <t>Bedrock Sentosa</t>
  </si>
  <si>
    <t>23 Beach View, 
Singapore 098679</t>
  </si>
  <si>
    <t>20CASGA118</t>
  </si>
  <si>
    <t>TMP Bugis</t>
  </si>
  <si>
    <t>230 Victoria Street, Bugis Junction</t>
  </si>
  <si>
    <t>HQ Office</t>
  </si>
  <si>
    <t>7 Buroh Lane</t>
  </si>
  <si>
    <t>Westcom Warehouse</t>
  </si>
  <si>
    <t>1 Tuas South Ave 6 #04-06</t>
  </si>
  <si>
    <t>`</t>
  </si>
  <si>
    <t>Underlying asset:</t>
  </si>
  <si>
    <t>Lease</t>
  </si>
  <si>
    <t>Outlet:</t>
  </si>
  <si>
    <t>Payment mode:</t>
  </si>
  <si>
    <t>Monthly cash payments</t>
  </si>
  <si>
    <t>Monthly payment:</t>
  </si>
  <si>
    <t>$</t>
  </si>
  <si>
    <t>FROM</t>
  </si>
  <si>
    <t>TO</t>
  </si>
  <si>
    <t>Lease period:</t>
  </si>
  <si>
    <t>Non cancelable period:</t>
  </si>
  <si>
    <t>months</t>
  </si>
  <si>
    <t>Extended period: ^1</t>
  </si>
  <si>
    <t>Total lease period:</t>
  </si>
  <si>
    <t xml:space="preserve">Remaining period as at </t>
  </si>
  <si>
    <t>Incremental borrowing rate</t>
  </si>
  <si>
    <t>per annum</t>
  </si>
  <si>
    <t>per month</t>
  </si>
  <si>
    <t>years</t>
  </si>
  <si>
    <t>Lease liability</t>
  </si>
  <si>
    <t>Rights of use assets</t>
  </si>
  <si>
    <t>PV of remaining fixed payments</t>
  </si>
  <si>
    <t>ROU</t>
  </si>
  <si>
    <t>Lease liabilities amortisation table</t>
  </si>
  <si>
    <t>Rights of use assets amortisation table</t>
  </si>
  <si>
    <t>Period #</t>
  </si>
  <si>
    <t>Opening</t>
  </si>
  <si>
    <t>Payment</t>
  </si>
  <si>
    <t>Interest</t>
  </si>
  <si>
    <t>Closing</t>
  </si>
  <si>
    <t>Acc. Payment</t>
  </si>
  <si>
    <t>Acc.  Interest</t>
  </si>
  <si>
    <t>Acc. Depn</t>
  </si>
  <si>
    <t>check</t>
  </si>
  <si>
    <t>As per audit</t>
  </si>
  <si>
    <t>Effect of adoption of SFRS(I) 16:</t>
  </si>
  <si>
    <t>Start of lease in 2021</t>
  </si>
  <si>
    <t>Non-Current Assets</t>
  </si>
  <si>
    <t>Right-of-Use Assets</t>
  </si>
  <si>
    <t>Current Liabilities</t>
  </si>
  <si>
    <t>Non-Current Liabilities</t>
  </si>
  <si>
    <t>"F"</t>
  </si>
  <si>
    <t>Contractual undiscounted cashflow</t>
  </si>
  <si>
    <t>within one financial year</t>
  </si>
  <si>
    <t>between one and five financial year</t>
  </si>
  <si>
    <t>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</si>
</sst>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dd/mmm/yyyy"/>
    <numFmt numFmtId="167" formatCode="_-* #,##0_-;\-* #,##0_-;_-* &quot;-&quot;??_-;_-@_-"/>
    <numFmt numFmtId="168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rebuchet MS"/>
      <family val="2"/>
    </font>
    <font>
      <b/>
      <sz val="10"/>
      <name val="Trebuchet MS"/>
      <family val="2"/>
    </font>
    <font>
      <sz val="10"/>
      <color theme="1"/>
      <name val="Trebuchet MS"/>
      <family val="2"/>
    </font>
    <font>
      <b/>
      <u/>
      <sz val="10"/>
      <color theme="1"/>
      <name val="Trebuchet MS"/>
      <family val="2"/>
    </font>
    <font>
      <b/>
      <sz val="10"/>
      <color rgb="FFFF0000"/>
      <name val="Trebuchet MS"/>
      <family val="2"/>
    </font>
    <font>
      <sz val="10"/>
      <name val="Trebuchet MS"/>
      <family val="2"/>
    </font>
    <font>
      <b/>
      <sz val="10"/>
      <color theme="1"/>
      <name val="Trebuchet MS"/>
      <family val="2"/>
    </font>
    <font>
      <sz val="10"/>
      <name val="Arial"/>
      <family val="2"/>
    </font>
    <font>
      <sz val="10"/>
      <color rgb="FF00B050"/>
      <name val="Trebuchet MS"/>
      <family val="2"/>
    </font>
    <font>
      <u/>
      <sz val="10"/>
      <color theme="1"/>
      <name val="Trebuchet MS"/>
      <family val="2"/>
    </font>
    <font>
      <b/>
      <sz val="10"/>
      <color rgb="FF00B050"/>
      <name val="Trebuchet MS"/>
      <family val="2"/>
    </font>
    <font>
      <sz val="10"/>
      <color rgb="FFFF0000"/>
      <name val="Trebuchet MS"/>
      <family val="2"/>
    </font>
    <font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9" fontId="1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</cellStyleXfs>
  <cellXfs count="144">
    <xf numFmtId="0" fontId="0" fillId="0" borderId="0" xfId="0"/>
    <xf numFmtId="166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/>
    </xf>
    <xf numFmtId="165" fontId="0" fillId="0" borderId="0" xfId="1" applyFont="1"/>
    <xf numFmtId="0" fontId="0" fillId="0" borderId="0" xfId="0" applyAlignment="1">
      <alignment horizontal="center" vertical="center"/>
    </xf>
    <xf numFmtId="165" fontId="0" fillId="0" borderId="0" xfId="1" applyFont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6" fillId="0" borderId="0" xfId="3" applyFont="1"/>
    <xf numFmtId="0" fontId="10" fillId="0" borderId="0" xfId="3" applyFont="1"/>
    <xf numFmtId="10" fontId="0" fillId="0" borderId="0" xfId="2" applyNumberFormat="1" applyFont="1"/>
    <xf numFmtId="0" fontId="3" fillId="0" borderId="0" xfId="0" applyFont="1"/>
    <xf numFmtId="14" fontId="0" fillId="0" borderId="0" xfId="1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7" fillId="0" borderId="3" xfId="0" applyFont="1" applyBorder="1"/>
    <xf numFmtId="0" fontId="7" fillId="0" borderId="4" xfId="0" applyFont="1" applyBorder="1"/>
    <xf numFmtId="0" fontId="6" fillId="0" borderId="4" xfId="0" applyFont="1" applyBorder="1"/>
    <xf numFmtId="0" fontId="6" fillId="0" borderId="5" xfId="0" applyFont="1" applyBorder="1"/>
    <xf numFmtId="17" fontId="6" fillId="0" borderId="0" xfId="3" applyNumberFormat="1" applyFont="1"/>
    <xf numFmtId="0" fontId="12" fillId="0" borderId="0" xfId="3" applyFont="1"/>
    <xf numFmtId="0" fontId="13" fillId="0" borderId="6" xfId="0" applyFont="1" applyBorder="1"/>
    <xf numFmtId="0" fontId="13" fillId="0" borderId="0" xfId="0" applyFont="1"/>
    <xf numFmtId="0" fontId="6" fillId="0" borderId="7" xfId="0" applyFont="1" applyBorder="1"/>
    <xf numFmtId="0" fontId="10" fillId="0" borderId="8" xfId="3" applyFont="1" applyBorder="1" applyAlignment="1">
      <alignment horizontal="center"/>
    </xf>
    <xf numFmtId="0" fontId="10" fillId="0" borderId="9" xfId="3" applyFont="1" applyBorder="1" applyAlignment="1">
      <alignment horizontal="center"/>
    </xf>
    <xf numFmtId="0" fontId="6" fillId="0" borderId="9" xfId="3" applyFont="1" applyBorder="1" applyAlignment="1">
      <alignment horizontal="center"/>
    </xf>
    <xf numFmtId="0" fontId="6" fillId="0" borderId="8" xfId="3" applyFont="1" applyBorder="1" applyAlignment="1">
      <alignment horizontal="center"/>
    </xf>
    <xf numFmtId="0" fontId="6" fillId="0" borderId="10" xfId="3" applyFont="1" applyBorder="1" applyAlignment="1">
      <alignment horizontal="center"/>
    </xf>
    <xf numFmtId="167" fontId="12" fillId="0" borderId="0" xfId="3" applyNumberFormat="1" applyFont="1" applyAlignment="1">
      <alignment horizontal="center"/>
    </xf>
    <xf numFmtId="0" fontId="10" fillId="0" borderId="11" xfId="3" applyFont="1" applyBorder="1" applyAlignment="1">
      <alignment horizontal="center"/>
    </xf>
    <xf numFmtId="165" fontId="10" fillId="0" borderId="0" xfId="3" applyNumberFormat="1" applyFont="1" applyAlignment="1">
      <alignment horizontal="center"/>
    </xf>
    <xf numFmtId="165" fontId="6" fillId="0" borderId="0" xfId="3" applyNumberFormat="1" applyFont="1"/>
    <xf numFmtId="167" fontId="6" fillId="0" borderId="11" xfId="4" applyNumberFormat="1" applyFont="1" applyBorder="1"/>
    <xf numFmtId="167" fontId="6" fillId="0" borderId="0" xfId="4" applyNumberFormat="1" applyFont="1" applyBorder="1"/>
    <xf numFmtId="167" fontId="6" fillId="0" borderId="12" xfId="4" applyNumberFormat="1" applyFont="1" applyBorder="1"/>
    <xf numFmtId="168" fontId="12" fillId="0" borderId="0" xfId="3" applyNumberFormat="1" applyFont="1"/>
    <xf numFmtId="0" fontId="10" fillId="0" borderId="6" xfId="0" applyFont="1" applyBorder="1" applyAlignment="1">
      <alignment horizontal="center"/>
    </xf>
    <xf numFmtId="165" fontId="14" fillId="0" borderId="0" xfId="7" applyFont="1" applyFill="1" applyBorder="1" applyAlignment="1">
      <alignment horizontal="right"/>
    </xf>
    <xf numFmtId="167" fontId="6" fillId="0" borderId="0" xfId="7" applyNumberFormat="1" applyFont="1" applyFill="1" applyBorder="1"/>
    <xf numFmtId="165" fontId="6" fillId="0" borderId="7" xfId="7" applyFont="1" applyFill="1" applyBorder="1"/>
    <xf numFmtId="165" fontId="14" fillId="0" borderId="0" xfId="3" applyNumberFormat="1" applyFont="1" applyAlignment="1">
      <alignment horizontal="right"/>
    </xf>
    <xf numFmtId="168" fontId="9" fillId="0" borderId="11" xfId="7" applyNumberFormat="1" applyFont="1" applyFill="1" applyBorder="1"/>
    <xf numFmtId="168" fontId="9" fillId="0" borderId="0" xfId="7" applyNumberFormat="1" applyFont="1" applyFill="1" applyBorder="1"/>
    <xf numFmtId="168" fontId="9" fillId="0" borderId="12" xfId="7" applyNumberFormat="1" applyFont="1" applyFill="1" applyBorder="1"/>
    <xf numFmtId="0" fontId="10" fillId="0" borderId="6" xfId="0" applyFont="1" applyBorder="1"/>
    <xf numFmtId="165" fontId="9" fillId="0" borderId="11" xfId="1" applyFont="1" applyBorder="1"/>
    <xf numFmtId="165" fontId="9" fillId="0" borderId="0" xfId="1" applyFont="1" applyBorder="1"/>
    <xf numFmtId="167" fontId="9" fillId="0" borderId="0" xfId="4" applyNumberFormat="1" applyFont="1" applyBorder="1"/>
    <xf numFmtId="167" fontId="9" fillId="0" borderId="12" xfId="4" applyNumberFormat="1" applyFont="1" applyBorder="1"/>
    <xf numFmtId="0" fontId="8" fillId="0" borderId="0" xfId="6" applyNumberFormat="1" applyFont="1" applyBorder="1" applyAlignment="1">
      <alignment horizontal="right"/>
    </xf>
    <xf numFmtId="0" fontId="10" fillId="0" borderId="13" xfId="0" applyFont="1" applyBorder="1" applyAlignment="1">
      <alignment horizontal="center"/>
    </xf>
    <xf numFmtId="167" fontId="14" fillId="0" borderId="14" xfId="7" applyNumberFormat="1" applyFont="1" applyFill="1" applyBorder="1" applyAlignment="1">
      <alignment horizontal="right"/>
    </xf>
    <xf numFmtId="168" fontId="6" fillId="0" borderId="14" xfId="7" applyNumberFormat="1" applyFont="1" applyFill="1" applyBorder="1"/>
    <xf numFmtId="168" fontId="14" fillId="0" borderId="15" xfId="7" applyNumberFormat="1" applyFont="1" applyFill="1" applyBorder="1" applyAlignment="1">
      <alignment horizontal="center"/>
    </xf>
    <xf numFmtId="0" fontId="8" fillId="0" borderId="0" xfId="6" applyNumberFormat="1" applyFont="1" applyAlignment="1">
      <alignment horizontal="right"/>
    </xf>
    <xf numFmtId="0" fontId="10" fillId="0" borderId="16" xfId="3" applyFont="1" applyBorder="1" applyAlignment="1">
      <alignment horizontal="center"/>
    </xf>
    <xf numFmtId="165" fontId="10" fillId="0" borderId="17" xfId="3" applyNumberFormat="1" applyFont="1" applyBorder="1" applyAlignment="1">
      <alignment horizontal="center"/>
    </xf>
    <xf numFmtId="165" fontId="14" fillId="0" borderId="17" xfId="3" applyNumberFormat="1" applyFont="1" applyBorder="1" applyAlignment="1">
      <alignment horizontal="right"/>
    </xf>
    <xf numFmtId="167" fontId="9" fillId="0" borderId="16" xfId="4" applyNumberFormat="1" applyFont="1" applyBorder="1"/>
    <xf numFmtId="167" fontId="9" fillId="0" borderId="17" xfId="4" applyNumberFormat="1" applyFont="1" applyBorder="1"/>
    <xf numFmtId="167" fontId="9" fillId="0" borderId="18" xfId="4" applyNumberFormat="1" applyFont="1" applyBorder="1"/>
    <xf numFmtId="167" fontId="9" fillId="0" borderId="0" xfId="4" applyNumberFormat="1" applyFont="1"/>
    <xf numFmtId="0" fontId="6" fillId="0" borderId="6" xfId="0" applyFont="1" applyBorder="1"/>
    <xf numFmtId="0" fontId="6" fillId="0" borderId="14" xfId="0" applyFont="1" applyBorder="1"/>
    <xf numFmtId="167" fontId="6" fillId="0" borderId="14" xfId="7" applyNumberFormat="1" applyFont="1" applyBorder="1"/>
    <xf numFmtId="0" fontId="10" fillId="0" borderId="0" xfId="3" applyFont="1" applyAlignment="1">
      <alignment horizontal="center"/>
    </xf>
    <xf numFmtId="0" fontId="7" fillId="3" borderId="0" xfId="3" applyFont="1" applyFill="1" applyAlignment="1">
      <alignment horizontal="center"/>
    </xf>
    <xf numFmtId="0" fontId="7" fillId="0" borderId="0" xfId="3" applyFont="1" applyAlignment="1">
      <alignment horizontal="center"/>
    </xf>
    <xf numFmtId="0" fontId="9" fillId="0" borderId="8" xfId="3" applyFont="1" applyBorder="1" applyAlignment="1">
      <alignment horizontal="center"/>
    </xf>
    <xf numFmtId="167" fontId="9" fillId="0" borderId="11" xfId="4" applyNumberFormat="1" applyFont="1" applyBorder="1"/>
    <xf numFmtId="167" fontId="6" fillId="0" borderId="16" xfId="7" applyNumberFormat="1" applyFont="1" applyBorder="1"/>
    <xf numFmtId="168" fontId="9" fillId="0" borderId="8" xfId="7" applyNumberFormat="1" applyFont="1" applyFill="1" applyBorder="1"/>
    <xf numFmtId="167" fontId="6" fillId="0" borderId="11" xfId="7" applyNumberFormat="1" applyFont="1" applyBorder="1"/>
    <xf numFmtId="0" fontId="9" fillId="0" borderId="9" xfId="3" applyFont="1" applyBorder="1" applyAlignment="1">
      <alignment horizontal="center"/>
    </xf>
    <xf numFmtId="167" fontId="6" fillId="0" borderId="17" xfId="7" applyNumberFormat="1" applyFont="1" applyBorder="1"/>
    <xf numFmtId="168" fontId="9" fillId="0" borderId="9" xfId="7" applyNumberFormat="1" applyFont="1" applyFill="1" applyBorder="1"/>
    <xf numFmtId="167" fontId="6" fillId="0" borderId="0" xfId="7" applyNumberFormat="1" applyFont="1" applyBorder="1"/>
    <xf numFmtId="0" fontId="9" fillId="0" borderId="10" xfId="3" applyFont="1" applyBorder="1" applyAlignment="1">
      <alignment horizontal="center"/>
    </xf>
    <xf numFmtId="167" fontId="6" fillId="0" borderId="18" xfId="7" applyNumberFormat="1" applyFont="1" applyBorder="1"/>
    <xf numFmtId="165" fontId="15" fillId="0" borderId="0" xfId="3" applyNumberFormat="1" applyFont="1"/>
    <xf numFmtId="39" fontId="6" fillId="0" borderId="0" xfId="3" applyNumberFormat="1" applyFont="1"/>
    <xf numFmtId="0" fontId="6" fillId="0" borderId="0" xfId="3" applyFont="1" applyAlignment="1">
      <alignment horizontal="center"/>
    </xf>
    <xf numFmtId="0" fontId="9" fillId="0" borderId="0" xfId="3" applyFont="1" applyAlignment="1">
      <alignment horizontal="center"/>
    </xf>
    <xf numFmtId="167" fontId="6" fillId="0" borderId="0" xfId="3" applyNumberFormat="1" applyFont="1"/>
    <xf numFmtId="167" fontId="6" fillId="0" borderId="0" xfId="3" quotePrefix="1" applyNumberFormat="1" applyFont="1" applyAlignment="1">
      <alignment vertical="center"/>
    </xf>
    <xf numFmtId="167" fontId="6" fillId="0" borderId="0" xfId="3" applyNumberFormat="1" applyFont="1" applyAlignment="1">
      <alignment vertical="center"/>
    </xf>
    <xf numFmtId="165" fontId="6" fillId="0" borderId="0" xfId="3" quotePrefix="1" applyNumberFormat="1" applyFont="1" applyAlignment="1">
      <alignment vertical="center"/>
    </xf>
    <xf numFmtId="167" fontId="6" fillId="0" borderId="17" xfId="7" applyNumberFormat="1" applyFont="1" applyFill="1" applyBorder="1"/>
    <xf numFmtId="39" fontId="6" fillId="0" borderId="9" xfId="3" applyNumberFormat="1" applyFont="1" applyBorder="1"/>
    <xf numFmtId="165" fontId="6" fillId="0" borderId="17" xfId="3" applyNumberFormat="1" applyFont="1" applyBorder="1"/>
    <xf numFmtId="39" fontId="6" fillId="0" borderId="10" xfId="3" applyNumberFormat="1" applyFont="1" applyBorder="1"/>
    <xf numFmtId="0" fontId="6" fillId="0" borderId="12" xfId="3" applyFont="1" applyBorder="1"/>
    <xf numFmtId="165" fontId="6" fillId="0" borderId="18" xfId="3" applyNumberFormat="1" applyFont="1" applyBorder="1"/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5" fontId="2" fillId="2" borderId="0" xfId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166" fontId="0" fillId="4" borderId="0" xfId="0" applyNumberFormat="1" applyFill="1" applyAlignment="1">
      <alignment horizontal="center" vertical="center"/>
    </xf>
    <xf numFmtId="165" fontId="0" fillId="4" borderId="0" xfId="1" applyFont="1" applyFill="1" applyAlignment="1">
      <alignment horizontal="center" vertical="center"/>
    </xf>
    <xf numFmtId="165" fontId="0" fillId="4" borderId="0" xfId="1" applyFont="1" applyFill="1" applyAlignment="1">
      <alignment horizontal="left" vertical="center"/>
    </xf>
    <xf numFmtId="0" fontId="0" fillId="4" borderId="0" xfId="0" applyFill="1"/>
    <xf numFmtId="165" fontId="6" fillId="0" borderId="0" xfId="1" applyFont="1"/>
    <xf numFmtId="165" fontId="0" fillId="0" borderId="0" xfId="0" applyNumberFormat="1"/>
    <xf numFmtId="10" fontId="6" fillId="0" borderId="0" xfId="2" applyNumberFormat="1" applyFont="1"/>
    <xf numFmtId="43" fontId="9" fillId="0" borderId="11" xfId="7" applyNumberFormat="1" applyFont="1" applyFill="1" applyBorder="1"/>
    <xf numFmtId="43" fontId="9" fillId="0" borderId="0" xfId="7" applyNumberFormat="1" applyFont="1" applyFill="1" applyBorder="1"/>
    <xf numFmtId="168" fontId="6" fillId="0" borderId="0" xfId="0" applyNumberFormat="1" applyFont="1"/>
    <xf numFmtId="168" fontId="12" fillId="0" borderId="0" xfId="9" applyNumberFormat="1" applyFont="1" applyFill="1" applyBorder="1"/>
    <xf numFmtId="165" fontId="6" fillId="0" borderId="18" xfId="10" applyFont="1" applyBorder="1"/>
    <xf numFmtId="168" fontId="9" fillId="0" borderId="12" xfId="9" applyNumberFormat="1" applyFont="1" applyFill="1" applyBorder="1"/>
    <xf numFmtId="39" fontId="6" fillId="0" borderId="10" xfId="3" applyNumberFormat="1" applyFont="1" applyBorder="1" applyAlignment="1">
      <alignment horizontal="left"/>
    </xf>
    <xf numFmtId="168" fontId="9" fillId="0" borderId="17" xfId="9" applyNumberFormat="1" applyFont="1" applyFill="1" applyBorder="1"/>
    <xf numFmtId="39" fontId="6" fillId="0" borderId="9" xfId="3" applyNumberFormat="1" applyFont="1" applyBorder="1" applyAlignment="1">
      <alignment horizontal="left"/>
    </xf>
    <xf numFmtId="0" fontId="7" fillId="0" borderId="9" xfId="3" applyFont="1" applyBorder="1"/>
    <xf numFmtId="168" fontId="9" fillId="0" borderId="19" xfId="9" applyNumberFormat="1" applyFont="1" applyFill="1" applyBorder="1"/>
    <xf numFmtId="165" fontId="6" fillId="0" borderId="17" xfId="10" applyFont="1" applyBorder="1"/>
    <xf numFmtId="168" fontId="9" fillId="0" borderId="0" xfId="9" applyNumberFormat="1" applyFont="1" applyFill="1" applyBorder="1"/>
    <xf numFmtId="167" fontId="6" fillId="0" borderId="17" xfId="10" applyNumberFormat="1" applyFont="1" applyBorder="1"/>
    <xf numFmtId="168" fontId="15" fillId="0" borderId="0" xfId="9" applyNumberFormat="1" applyFont="1" applyFill="1" applyBorder="1"/>
    <xf numFmtId="165" fontId="10" fillId="0" borderId="17" xfId="10" applyFont="1" applyBorder="1" applyAlignment="1">
      <alignment horizontal="center"/>
    </xf>
    <xf numFmtId="168" fontId="5" fillId="0" borderId="0" xfId="9" applyNumberFormat="1" applyFont="1" applyFill="1" applyBorder="1" applyAlignment="1">
      <alignment horizontal="center"/>
    </xf>
    <xf numFmtId="15" fontId="10" fillId="0" borderId="16" xfId="10" applyNumberFormat="1" applyFont="1" applyBorder="1" applyAlignment="1">
      <alignment horizontal="center"/>
    </xf>
    <xf numFmtId="15" fontId="10" fillId="0" borderId="11" xfId="10" applyNumberFormat="1" applyFont="1" applyBorder="1" applyAlignment="1">
      <alignment horizontal="center"/>
    </xf>
    <xf numFmtId="0" fontId="6" fillId="0" borderId="11" xfId="3" applyFont="1" applyBorder="1"/>
    <xf numFmtId="0" fontId="7" fillId="0" borderId="8" xfId="3" applyFont="1" applyBorder="1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0" fillId="0" borderId="0" xfId="0" applyAlignment="1">
      <alignment wrapText="1"/>
    </xf>
    <xf numFmtId="165" fontId="16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165" fontId="3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0" fontId="10" fillId="3" borderId="0" xfId="3" applyFont="1" applyFill="1" applyAlignment="1">
      <alignment horizontal="center"/>
    </xf>
    <xf numFmtId="168" fontId="5" fillId="0" borderId="21" xfId="9" applyNumberFormat="1" applyFont="1" applyFill="1" applyBorder="1" applyAlignment="1">
      <alignment horizontal="center"/>
    </xf>
    <xf numFmtId="168" fontId="5" fillId="0" borderId="20" xfId="9" applyNumberFormat="1" applyFont="1" applyFill="1" applyBorder="1" applyAlignment="1">
      <alignment horizontal="center"/>
    </xf>
    <xf numFmtId="0" fontId="0" fillId="5" borderId="0" xfId="0" applyFill="1"/>
    <xf numFmtId="0" fontId="2" fillId="5" borderId="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vertical="center" wrapText="1"/>
    </xf>
  </cellXfs>
  <cellStyles count="16">
    <cellStyle name="Comma" xfId="1" builtinId="3"/>
    <cellStyle name="Comma 2" xfId="7" xr:uid="{A6E8C81C-CAC8-4437-8849-DB3612216FCD}"/>
    <cellStyle name="Comma 2 2" xfId="9" xr:uid="{CE53304D-3C77-4450-9D0C-CFAF87D21780}"/>
    <cellStyle name="Comma 3" xfId="6" xr:uid="{C14738C8-058F-4030-A59F-E577EEA873D4}"/>
    <cellStyle name="Comma 3 2" xfId="11" xr:uid="{4507F7F5-168A-4838-BCEB-276C524C940E}"/>
    <cellStyle name="Comma 4" xfId="8" xr:uid="{BF3E0A92-C92F-4B44-9DD0-A904AE730549}"/>
    <cellStyle name="Comma 7" xfId="4" xr:uid="{41D14B1D-4D00-40E4-A112-FB6A9E9A3E4E}"/>
    <cellStyle name="Comma 7 2" xfId="10" xr:uid="{954673A8-F7A4-4BDD-9858-43842591F09B}"/>
    <cellStyle name="Currency 2" xfId="15" xr:uid="{ADAF5234-9798-4E02-9080-A03FF90FD250}"/>
    <cellStyle name="Normal" xfId="0" builtinId="0"/>
    <cellStyle name="Normal 2" xfId="12" xr:uid="{75B19597-16C0-410C-B8DE-5A3A65E340AF}"/>
    <cellStyle name="Normal 3" xfId="14" xr:uid="{35DD59EF-D556-440B-BB83-053EDF312133}"/>
    <cellStyle name="Normal 3 3 2" xfId="3" xr:uid="{867A001A-B934-4939-92DF-0F05C1FFEE56}"/>
    <cellStyle name="Normal 4 2" xfId="13" xr:uid="{E028CC29-78BF-43A7-A824-22B605B7FAAC}"/>
    <cellStyle name="Percent" xfId="2" builtinId="5"/>
    <cellStyle name="Percent 3 2" xfId="5" xr:uid="{BD199739-8B7F-44E2-829F-1A199F3351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ustomXml" Target="../customXml/item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38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37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eetMetadata" Target="metadata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17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1.png"/><Relationship Id="rId1" Type="http://schemas.openxmlformats.org/officeDocument/2006/relationships/image" Target="../media/image20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2.png"/><Relationship Id="rId1" Type="http://schemas.openxmlformats.org/officeDocument/2006/relationships/image" Target="../media/image20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4.png"/><Relationship Id="rId1" Type="http://schemas.openxmlformats.org/officeDocument/2006/relationships/image" Target="../media/image2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0.png"/><Relationship Id="rId1" Type="http://schemas.openxmlformats.org/officeDocument/2006/relationships/image" Target="../media/image29.png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1.png"/><Relationship Id="rId1" Type="http://schemas.openxmlformats.org/officeDocument/2006/relationships/image" Target="../media/image30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3.png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343647</xdr:colOff>
      <xdr:row>0</xdr:row>
      <xdr:rowOff>67236</xdr:rowOff>
    </xdr:from>
    <xdr:to>
      <xdr:col>12</xdr:col>
      <xdr:colOff>410784</xdr:colOff>
      <xdr:row>5</xdr:row>
      <xdr:rowOff>35158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6CA6EA-230F-4C78-A333-108F4C406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02823" y="67236"/>
          <a:ext cx="5378726" cy="9017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29883</xdr:colOff>
      <xdr:row>1</xdr:row>
      <xdr:rowOff>134470</xdr:rowOff>
    </xdr:from>
    <xdr:to>
      <xdr:col>14</xdr:col>
      <xdr:colOff>198118</xdr:colOff>
      <xdr:row>11</xdr:row>
      <xdr:rowOff>97118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3A3115E-DFBC-4B8E-B3C4-DE04F6026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00471" y="321235"/>
          <a:ext cx="5390176" cy="18302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6</xdr:row>
      <xdr:rowOff>0</xdr:rowOff>
    </xdr:from>
    <xdr:to>
      <xdr:col>19</xdr:col>
      <xdr:colOff>182675</xdr:colOff>
      <xdr:row>17</xdr:row>
      <xdr:rowOff>161852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FA77816-3FA8-4F81-BCCB-95864886B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94588" y="1120588"/>
          <a:ext cx="7645793" cy="221626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620059</xdr:colOff>
      <xdr:row>0</xdr:row>
      <xdr:rowOff>52294</xdr:rowOff>
    </xdr:from>
    <xdr:to>
      <xdr:col>15</xdr:col>
      <xdr:colOff>691021</xdr:colOff>
      <xdr:row>8</xdr:row>
      <xdr:rowOff>12401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CC1CC84-D681-45A0-8AE9-7CA82FC10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79235" y="52294"/>
          <a:ext cx="7093315" cy="14542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455705</xdr:colOff>
      <xdr:row>0</xdr:row>
      <xdr:rowOff>22411</xdr:rowOff>
    </xdr:from>
    <xdr:to>
      <xdr:col>17</xdr:col>
      <xdr:colOff>491965</xdr:colOff>
      <xdr:row>8</xdr:row>
      <xdr:rowOff>153977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7B4BF30-5444-4BCD-B3AE-D35068215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26293" y="22411"/>
          <a:ext cx="7798201" cy="1625684"/>
        </a:xfrm>
        <a:prstGeom prst="rect">
          <a:avLst/>
        </a:prstGeom>
      </xdr:spPr>
    </xdr:pic>
    <xdr:clientData/>
  </xdr:twoCellAnchor>
  <xdr:twoCellAnchor editAs="oneCell">
    <xdr:from>
      <xdr:col>7</xdr:col>
      <xdr:colOff>776941</xdr:colOff>
      <xdr:row>7</xdr:row>
      <xdr:rowOff>149412</xdr:rowOff>
    </xdr:from>
    <xdr:to>
      <xdr:col>16</xdr:col>
      <xdr:colOff>2430</xdr:colOff>
      <xdr:row>17</xdr:row>
      <xdr:rowOff>128086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8D92221-AB66-47C8-8C28-EAF5BF29E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47529" y="1456765"/>
          <a:ext cx="6165105" cy="184632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343648</xdr:colOff>
      <xdr:row>0</xdr:row>
      <xdr:rowOff>156882</xdr:rowOff>
    </xdr:from>
    <xdr:to>
      <xdr:col>16</xdr:col>
      <xdr:colOff>192719</xdr:colOff>
      <xdr:row>16</xdr:row>
      <xdr:rowOff>83447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CEA2A35-224B-4E7E-A6A6-668270394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4236" y="156882"/>
          <a:ext cx="6826601" cy="29148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119529</xdr:colOff>
      <xdr:row>1</xdr:row>
      <xdr:rowOff>37353</xdr:rowOff>
    </xdr:from>
    <xdr:to>
      <xdr:col>19</xdr:col>
      <xdr:colOff>13483</xdr:colOff>
      <xdr:row>15</xdr:row>
      <xdr:rowOff>127886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DE73553-41E4-4D47-A0C2-2A2653138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01529" y="224118"/>
          <a:ext cx="7969660" cy="270523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104588</xdr:colOff>
      <xdr:row>1</xdr:row>
      <xdr:rowOff>36861</xdr:rowOff>
    </xdr:from>
    <xdr:to>
      <xdr:col>15</xdr:col>
      <xdr:colOff>597634</xdr:colOff>
      <xdr:row>16</xdr:row>
      <xdr:rowOff>63680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83996B8-4556-437D-92AE-88B277B06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86588" y="223626"/>
          <a:ext cx="5692575" cy="282828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59764</xdr:colOff>
      <xdr:row>0</xdr:row>
      <xdr:rowOff>67318</xdr:rowOff>
    </xdr:from>
    <xdr:to>
      <xdr:col>15</xdr:col>
      <xdr:colOff>687295</xdr:colOff>
      <xdr:row>16</xdr:row>
      <xdr:rowOff>42147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2A965AC-C019-4066-BB33-AA479B3A2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41764" y="67318"/>
          <a:ext cx="5827060" cy="296306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171824</xdr:colOff>
      <xdr:row>0</xdr:row>
      <xdr:rowOff>164354</xdr:rowOff>
    </xdr:from>
    <xdr:to>
      <xdr:col>18</xdr:col>
      <xdr:colOff>525958</xdr:colOff>
      <xdr:row>13</xdr:row>
      <xdr:rowOff>47932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CC83A61-72B8-42AE-A406-BB4ABC092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53824" y="164354"/>
          <a:ext cx="7817252" cy="231151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552823</xdr:colOff>
      <xdr:row>0</xdr:row>
      <xdr:rowOff>89824</xdr:rowOff>
    </xdr:from>
    <xdr:to>
      <xdr:col>14</xdr:col>
      <xdr:colOff>382596</xdr:colOff>
      <xdr:row>18</xdr:row>
      <xdr:rowOff>149410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7E9831-3903-4819-ABEF-F39D913368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23411" y="89824"/>
          <a:ext cx="5051714" cy="3421351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739588</xdr:colOff>
      <xdr:row>0</xdr:row>
      <xdr:rowOff>0</xdr:rowOff>
    </xdr:from>
    <xdr:to>
      <xdr:col>18</xdr:col>
      <xdr:colOff>68004</xdr:colOff>
      <xdr:row>18</xdr:row>
      <xdr:rowOff>111864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0921EC-3465-4453-9769-0C1A3C5CF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10176" y="0"/>
          <a:ext cx="7702946" cy="347362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321236</xdr:colOff>
      <xdr:row>0</xdr:row>
      <xdr:rowOff>149411</xdr:rowOff>
    </xdr:from>
    <xdr:to>
      <xdr:col>17</xdr:col>
      <xdr:colOff>166986</xdr:colOff>
      <xdr:row>5</xdr:row>
      <xdr:rowOff>2467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7FA3A57-15EC-436E-ABE8-335592133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91824" y="149411"/>
          <a:ext cx="7607691" cy="781090"/>
        </a:xfrm>
        <a:prstGeom prst="rect">
          <a:avLst/>
        </a:prstGeom>
      </xdr:spPr>
    </xdr:pic>
    <xdr:clientData/>
  </xdr:twoCellAnchor>
  <xdr:twoCellAnchor editAs="oneCell">
    <xdr:from>
      <xdr:col>7</xdr:col>
      <xdr:colOff>306295</xdr:colOff>
      <xdr:row>4</xdr:row>
      <xdr:rowOff>141942</xdr:rowOff>
    </xdr:from>
    <xdr:to>
      <xdr:col>17</xdr:col>
      <xdr:colOff>2999</xdr:colOff>
      <xdr:row>17</xdr:row>
      <xdr:rowOff>171577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35A24B9-7213-4168-9042-FAD673532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76883" y="889001"/>
          <a:ext cx="7455283" cy="245757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672353</xdr:colOff>
      <xdr:row>0</xdr:row>
      <xdr:rowOff>25086</xdr:rowOff>
    </xdr:from>
    <xdr:to>
      <xdr:col>15</xdr:col>
      <xdr:colOff>745588</xdr:colOff>
      <xdr:row>18</xdr:row>
      <xdr:rowOff>22626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24C4F75-363D-4CB0-9119-6929F5809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000" y="25086"/>
          <a:ext cx="6184176" cy="335930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17</xdr:col>
      <xdr:colOff>585703</xdr:colOff>
      <xdr:row>17</xdr:row>
      <xdr:rowOff>104374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B050FA3-50AA-47EB-A158-877F79B44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75059" y="186765"/>
          <a:ext cx="7436232" cy="3092609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2</xdr:row>
      <xdr:rowOff>0</xdr:rowOff>
    </xdr:from>
    <xdr:to>
      <xdr:col>28</xdr:col>
      <xdr:colOff>589370</xdr:colOff>
      <xdr:row>25</xdr:row>
      <xdr:rowOff>21513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F3E4458-D2CA-4247-8CBC-8AB1D3E15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950765" y="373529"/>
          <a:ext cx="6102664" cy="432457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201706</xdr:colOff>
      <xdr:row>1</xdr:row>
      <xdr:rowOff>37352</xdr:rowOff>
    </xdr:from>
    <xdr:to>
      <xdr:col>16</xdr:col>
      <xdr:colOff>469899</xdr:colOff>
      <xdr:row>15</xdr:row>
      <xdr:rowOff>172337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5D441CD-6576-4B0C-9BD5-65950865C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2353" y="224117"/>
          <a:ext cx="7245722" cy="2749691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149412</xdr:colOff>
      <xdr:row>0</xdr:row>
      <xdr:rowOff>135106</xdr:rowOff>
    </xdr:from>
    <xdr:to>
      <xdr:col>24</xdr:col>
      <xdr:colOff>495269</xdr:colOff>
      <xdr:row>7</xdr:row>
      <xdr:rowOff>42648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99386CC-9418-4547-B2C6-236495360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351000" y="135106"/>
          <a:ext cx="6284975" cy="121489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0</xdr:row>
      <xdr:rowOff>134471</xdr:rowOff>
    </xdr:from>
    <xdr:to>
      <xdr:col>14</xdr:col>
      <xdr:colOff>381000</xdr:colOff>
      <xdr:row>13</xdr:row>
      <xdr:rowOff>139073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F64D697-E175-4EDE-BEA3-661D6EEF3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90647" y="134471"/>
          <a:ext cx="5602941" cy="243254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149412</xdr:colOff>
      <xdr:row>0</xdr:row>
      <xdr:rowOff>135106</xdr:rowOff>
    </xdr:from>
    <xdr:to>
      <xdr:col>24</xdr:col>
      <xdr:colOff>495269</xdr:colOff>
      <xdr:row>7</xdr:row>
      <xdr:rowOff>42648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F8A78A-80A5-46E1-9B06-D7E894D51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328962" y="135106"/>
          <a:ext cx="6264057" cy="1196592"/>
        </a:xfrm>
        <a:prstGeom prst="rect">
          <a:avLst/>
        </a:prstGeom>
      </xdr:spPr>
    </xdr:pic>
    <xdr:clientData/>
  </xdr:twoCellAnchor>
  <xdr:twoCellAnchor editAs="oneCell">
    <xdr:from>
      <xdr:col>7</xdr:col>
      <xdr:colOff>29883</xdr:colOff>
      <xdr:row>0</xdr:row>
      <xdr:rowOff>104589</xdr:rowOff>
    </xdr:from>
    <xdr:to>
      <xdr:col>15</xdr:col>
      <xdr:colOff>777294</xdr:colOff>
      <xdr:row>11</xdr:row>
      <xdr:rowOff>171186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98008E0-E794-437E-99DC-D137C797E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20530" y="104589"/>
          <a:ext cx="6858352" cy="212100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5</xdr:row>
      <xdr:rowOff>0</xdr:rowOff>
    </xdr:from>
    <xdr:to>
      <xdr:col>13</xdr:col>
      <xdr:colOff>116765</xdr:colOff>
      <xdr:row>17</xdr:row>
      <xdr:rowOff>7994</xdr:rowOff>
    </xdr:to>
    <xdr:pic>
      <xdr:nvPicPr>
        <xdr:cNvPr id="6" name="Picture 5" descr="Text, letter&#10;&#10;Description automatically generated">
          <a:extLst>
            <a:ext uri="{FF2B5EF4-FFF2-40B4-BE49-F238E27FC236}">
              <a16:creationId xmlns:a16="http://schemas.microsoft.com/office/drawing/2014/main" id="{A305C931-976A-48FA-9EB7-851A1C2A8E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27235" y="933824"/>
          <a:ext cx="2589530" cy="224917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18</xdr:col>
      <xdr:colOff>280857</xdr:colOff>
      <xdr:row>21</xdr:row>
      <xdr:rowOff>94055</xdr:rowOff>
    </xdr:to>
    <xdr:pic>
      <xdr:nvPicPr>
        <xdr:cNvPr id="8" name="Picture 7" descr="Text&#10;&#10;Description automatically generated">
          <a:extLst>
            <a:ext uri="{FF2B5EF4-FFF2-40B4-BE49-F238E27FC236}">
              <a16:creationId xmlns:a16="http://schemas.microsoft.com/office/drawing/2014/main" id="{29B309D3-6D68-41FD-86BE-10F8570BEC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12588" y="933824"/>
          <a:ext cx="3433445" cy="308229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</xdr:row>
      <xdr:rowOff>0</xdr:rowOff>
    </xdr:from>
    <xdr:to>
      <xdr:col>18</xdr:col>
      <xdr:colOff>84027</xdr:colOff>
      <xdr:row>13</xdr:row>
      <xdr:rowOff>18400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D59DDB2-D1EE-4226-ADF3-BDF0D449F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87647" y="560294"/>
          <a:ext cx="6934556" cy="188604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171823</xdr:colOff>
      <xdr:row>0</xdr:row>
      <xdr:rowOff>151138</xdr:rowOff>
    </xdr:from>
    <xdr:to>
      <xdr:col>15</xdr:col>
      <xdr:colOff>733616</xdr:colOff>
      <xdr:row>16</xdr:row>
      <xdr:rowOff>130556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41E0F13-A16A-4D73-B52B-FE9A430FE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53823" y="151138"/>
          <a:ext cx="5761322" cy="2967653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239058</xdr:colOff>
      <xdr:row>0</xdr:row>
      <xdr:rowOff>0</xdr:rowOff>
    </xdr:from>
    <xdr:to>
      <xdr:col>15</xdr:col>
      <xdr:colOff>564065</xdr:colOff>
      <xdr:row>17</xdr:row>
      <xdr:rowOff>147936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697BB95-7470-4DC2-B800-DC0B38F81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02705" y="0"/>
          <a:ext cx="6435948" cy="3322936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59764</xdr:colOff>
      <xdr:row>3</xdr:row>
      <xdr:rowOff>127556</xdr:rowOff>
    </xdr:from>
    <xdr:to>
      <xdr:col>13</xdr:col>
      <xdr:colOff>112058</xdr:colOff>
      <xdr:row>18</xdr:row>
      <xdr:rowOff>65594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4F8F481-778E-47C9-B5F4-02B43BC56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41764" y="687850"/>
          <a:ext cx="3750235" cy="273950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418353</xdr:colOff>
      <xdr:row>0</xdr:row>
      <xdr:rowOff>0</xdr:rowOff>
    </xdr:from>
    <xdr:to>
      <xdr:col>16</xdr:col>
      <xdr:colOff>397479</xdr:colOff>
      <xdr:row>18</xdr:row>
      <xdr:rowOff>46069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C11A8E5-E4AE-4A05-8867-9D0995C2A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93412" y="0"/>
          <a:ext cx="6045243" cy="3407834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29</xdr:col>
      <xdr:colOff>78823</xdr:colOff>
      <xdr:row>5</xdr:row>
      <xdr:rowOff>63177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D1DD0A-8618-4038-AC5B-56F91ADFAC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725588" y="0"/>
          <a:ext cx="7429882" cy="997001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0</xdr:row>
      <xdr:rowOff>0</xdr:rowOff>
    </xdr:from>
    <xdr:to>
      <xdr:col>29</xdr:col>
      <xdr:colOff>78823</xdr:colOff>
      <xdr:row>5</xdr:row>
      <xdr:rowOff>63177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D8FAAF0-79E0-4628-BBF8-4908173DF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703550" y="0"/>
          <a:ext cx="7394023" cy="983927"/>
        </a:xfrm>
        <a:prstGeom prst="rect">
          <a:avLst/>
        </a:prstGeom>
      </xdr:spPr>
    </xdr:pic>
    <xdr:clientData/>
  </xdr:twoCellAnchor>
  <xdr:twoCellAnchor editAs="oneCell">
    <xdr:from>
      <xdr:col>7</xdr:col>
      <xdr:colOff>388471</xdr:colOff>
      <xdr:row>1</xdr:row>
      <xdr:rowOff>156882</xdr:rowOff>
    </xdr:from>
    <xdr:to>
      <xdr:col>18</xdr:col>
      <xdr:colOff>250315</xdr:colOff>
      <xdr:row>9</xdr:row>
      <xdr:rowOff>155092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2E733D2-2A4F-4EC2-90B3-8C1433641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52118" y="343647"/>
          <a:ext cx="8236373" cy="149232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264229</xdr:colOff>
      <xdr:row>0</xdr:row>
      <xdr:rowOff>14941</xdr:rowOff>
    </xdr:from>
    <xdr:to>
      <xdr:col>14</xdr:col>
      <xdr:colOff>558391</xdr:colOff>
      <xdr:row>18</xdr:row>
      <xdr:rowOff>157514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84C8F1B-C2F7-4254-91B4-EABEDBBAA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46229" y="14941"/>
          <a:ext cx="4604691" cy="350433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784411</xdr:colOff>
      <xdr:row>0</xdr:row>
      <xdr:rowOff>171823</xdr:rowOff>
    </xdr:from>
    <xdr:to>
      <xdr:col>15</xdr:col>
      <xdr:colOff>586823</xdr:colOff>
      <xdr:row>16</xdr:row>
      <xdr:rowOff>175643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3157E75-C1ED-4AF8-A0E9-D5734C91A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54999" y="171823"/>
          <a:ext cx="5913353" cy="2992055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321236</xdr:colOff>
      <xdr:row>0</xdr:row>
      <xdr:rowOff>149411</xdr:rowOff>
    </xdr:from>
    <xdr:to>
      <xdr:col>17</xdr:col>
      <xdr:colOff>166986</xdr:colOff>
      <xdr:row>5</xdr:row>
      <xdr:rowOff>2467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AC949C-51AF-45C8-BEDA-17EE361F6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84136" y="149411"/>
          <a:ext cx="7586400" cy="770631"/>
        </a:xfrm>
        <a:prstGeom prst="rect">
          <a:avLst/>
        </a:prstGeom>
      </xdr:spPr>
    </xdr:pic>
    <xdr:clientData/>
  </xdr:twoCellAnchor>
  <xdr:twoCellAnchor editAs="oneCell">
    <xdr:from>
      <xdr:col>7</xdr:col>
      <xdr:colOff>306295</xdr:colOff>
      <xdr:row>4</xdr:row>
      <xdr:rowOff>141942</xdr:rowOff>
    </xdr:from>
    <xdr:to>
      <xdr:col>17</xdr:col>
      <xdr:colOff>2999</xdr:colOff>
      <xdr:row>17</xdr:row>
      <xdr:rowOff>171577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3D844ED-6428-426C-A386-28730830B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69195" y="878542"/>
          <a:ext cx="7437354" cy="24235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89494-DBDE-49EB-ADE3-E8C240900BA8}">
  <dimension ref="A1:K31"/>
  <sheetViews>
    <sheetView workbookViewId="0">
      <selection activeCell="B1" sqref="B1"/>
    </sheetView>
  </sheetViews>
  <sheetFormatPr defaultRowHeight="14.25" x14ac:dyDescent="0.45"/>
  <cols>
    <col min="1" max="1" width="22.1328125" customWidth="1"/>
    <col min="2" max="2" width="14.59765625" customWidth="1"/>
    <col min="3" max="3" width="13.59765625" style="3" bestFit="1" customWidth="1"/>
    <col min="4" max="4" width="4.3984375" customWidth="1"/>
    <col min="5" max="5" width="14.3984375" customWidth="1"/>
    <col min="6" max="6" width="15.86328125" style="5" customWidth="1"/>
    <col min="7" max="7" width="16" style="4" customWidth="1"/>
    <col min="8" max="8" width="14.1328125" style="4" customWidth="1"/>
    <col min="9" max="9" width="15.73046875" style="4" customWidth="1"/>
    <col min="10" max="10" width="13.73046875" style="5" customWidth="1"/>
    <col min="11" max="11" width="14.73046875" style="4" customWidth="1"/>
  </cols>
  <sheetData>
    <row r="1" spans="1:11" x14ac:dyDescent="0.45">
      <c r="H1" s="13"/>
    </row>
    <row r="2" spans="1:11" s="129" customFormat="1" ht="42.75" x14ac:dyDescent="0.45">
      <c r="E2" s="131" t="s">
        <v>0</v>
      </c>
      <c r="F2" s="132" t="s">
        <v>1</v>
      </c>
      <c r="G2" s="132" t="s">
        <v>2</v>
      </c>
      <c r="H2" s="133" t="s">
        <v>3</v>
      </c>
      <c r="I2" s="133" t="s">
        <v>4</v>
      </c>
      <c r="J2" s="132" t="s">
        <v>5</v>
      </c>
      <c r="K2" s="132" t="s">
        <v>6</v>
      </c>
    </row>
    <row r="3" spans="1:11" x14ac:dyDescent="0.45">
      <c r="A3" s="128" t="s">
        <v>7</v>
      </c>
      <c r="B3" s="129"/>
      <c r="C3" s="130" t="s">
        <v>8</v>
      </c>
      <c r="E3" s="138" t="s">
        <v>9</v>
      </c>
      <c r="F3" s="5" cm="1">
        <f t="array" aca="1" ref="F3" ca="1">IF(YEAR(INDIRECT("'"&amp;E3&amp;"'!"&amp;"D10"))&lt;2021=TRUE,INDEX(INDIRECT("'"&amp;E3&amp;"'!"&amp;"K:K"),MATCH(DATE(2021,1,DAY(INDIRECT("'"&amp;E3&amp;"'!"&amp;"D10"))),INDIRECT("'"&amp;E3&amp;"'!"&amp;"C:C"))),INDEX(INDIRECT("'"&amp;E3&amp;"'!"&amp;"K:K"),MATCH(DATE(2021,MAX(1,MONTH(INDIRECT("'"&amp;E3&amp;"'!"&amp;"D10"))),DAY(INDIRECT("'"&amp;E3&amp;"'!"&amp;"D10"))),INDIRECT("'"&amp;E3&amp;"'!"&amp;"C:C"))))</f>
        <v>689183.76727581257</v>
      </c>
      <c r="G3" s="5" cm="1">
        <f t="array" aca="1" ref="G3" ca="1">IF(YEAR(INDIRECT("'"&amp;E3&amp;"'!"&amp;"D10"))&lt;2021=TRUE,INDEX(INDIRECT("'"&amp;E3&amp;"'!"&amp;"E:E"),MATCH(DATE(2021,1,DAY(INDIRECT("'"&amp;E3&amp;"'!"&amp;"D10"))),INDIRECT("'"&amp;E3&amp;"'!"&amp;"C:C"))),INDEX(INDIRECT("'"&amp;E3&amp;"'!"&amp;"E:E"),MATCH(DATE(2021,MAX(1,MONTH(INDIRECT("'"&amp;E3&amp;"'!"&amp;"D10"))),DAY(INDIRECT("'"&amp;E3&amp;"'!"&amp;"D10"))),INDIRECT("'"&amp;E3&amp;"'!"&amp;"C:C"))))</f>
        <v>689183.76727581257</v>
      </c>
      <c r="H3" s="5" cm="1">
        <f t="array" aca="1" ref="H3" ca="1">IF(YEAR(INDIRECT("'"&amp;E3&amp;"'!"&amp;"D10"))&lt;2021=TRUE,SUM(INDIRECT("'"&amp;E3&amp;"'!"&amp;"F"&amp;MATCH(DATE(2021,1,DAY(INDIRECT("'"&amp;E3&amp;"'!"&amp;"D10"))),INDIRECT("'"&amp;E3&amp;"'!"&amp;"C:C"))):INDIRECT("'"&amp;E3&amp;"'!"&amp;"G"&amp;MATCH(DATE(2021,12,DAY(INDIRECT("'"&amp;E3&amp;"'!"&amp;"D10"))),INDIRECT("'"&amp;E3&amp;"'!"&amp;"C:C")))),SUM(INDIRECT("'"&amp;E3&amp;"'!"&amp;"F"&amp;MATCH(DATE(2021,MAX(1,MONTH(INDIRECT("'"&amp;E3&amp;"'!"&amp;"D10"))),DAY(INDIRECT("'"&amp;E3&amp;"'!"&amp;"D10"))),INDIRECT("'"&amp;E3&amp;"'!"&amp;"C:C"))):INDIRECT("'"&amp;E3&amp;"'!"&amp;"G"&amp;MATCH(DATE(2021,12,DAY(INDIRECT("'"&amp;E3&amp;"'!"&amp;"D10"))),INDIRECT("'"&amp;E3&amp;"'!"&amp;"C:C")))))</f>
        <v>-54754.45111804815</v>
      </c>
      <c r="I3" s="5" cm="1">
        <f t="array" aca="1" ref="I3" ca="1">IF(YEAR(INDIRECT("'"&amp;E3&amp;"'!"&amp;"D10"))&lt;2021=TRUE,SUM(INDIRECT("'"&amp;E3&amp;"'!"&amp;"F"&amp;MATCH(DATE(2021,1,DAY(INDIRECT("'"&amp;E3&amp;"'!"&amp;"D10"))),INDIRECT("'"&amp;E3&amp;"'!"&amp;"C:C"))):INDIRECT("'"&amp;E3&amp;"'!"&amp;"F"&amp;MATCH(DATE(2021,12,DAY(INDIRECT("'"&amp;E3&amp;"'!"&amp;"D10"))),INDIRECT("'"&amp;E3&amp;"'!"&amp;"C:C")))),SUM(INDIRECT("'"&amp;E3&amp;"'!"&amp;"F"&amp;MATCH(DATE(2021,MAX(1,MONTH(INDIRECT("'"&amp;E3&amp;"'!"&amp;"D10"))),DAY(INDIRECT("'"&amp;E3&amp;"'!"&amp;"D10"))),INDIRECT("'"&amp;E3&amp;"'!"&amp;"C:C"))):INDIRECT("'"&amp;E3&amp;"'!"&amp;"F"&amp;MATCH(DATE(2021,12,DAY(INDIRECT("'"&amp;E3&amp;"'!"&amp;"D10"))),INDIRECT("'"&amp;E3&amp;"'!"&amp;"C:C")))))</f>
        <v>-60360</v>
      </c>
      <c r="J3" s="5" cm="1">
        <f t="array" aca="1" ref="J3" ca="1">IF(YEAR(INDIRECT("'"&amp;E3&amp;"'!"&amp;"D10"))&lt;2021=TRUE,SUM(INDIRECT("'"&amp;E3&amp;"'!"&amp;"G"&amp;MATCH(DATE(2021,1,DAY(INDIRECT("'"&amp;E3&amp;"'!"&amp;"D10"))),INDIRECT("'"&amp;E3&amp;"'!"&amp;"C:C"))):INDIRECT("'"&amp;E3&amp;"'!"&amp;"G"&amp;MATCH(DATE(2021,12,DAY(INDIRECT("'"&amp;E3&amp;"'!"&amp;"D10"))),INDIRECT("'"&amp;E3&amp;"'!"&amp;"C:C")))),SUM(INDIRECT("'"&amp;E3&amp;"'!"&amp;"G"&amp;MATCH(DATE(2021,MAX(1,MONTH(INDIRECT("'"&amp;E3&amp;"'!"&amp;"D10"))),DAY(INDIRECT("'"&amp;E3&amp;"'!"&amp;"D10"))),INDIRECT("'"&amp;E3&amp;"'!"&amp;"C:C"))):INDIRECT("'"&amp;E3&amp;"'!"&amp;"G"&amp;MATCH(DATE(2021,12,DAY(INDIRECT("'"&amp;E3&amp;"'!"&amp;"D10"))),INDIRECT("'"&amp;E3&amp;"'!"&amp;"C:C")))))</f>
        <v>5605.5488819518432</v>
      </c>
      <c r="K3" s="134" cm="1">
        <f t="array" aca="1" ref="K3" ca="1">IF(YEAR(INDIRECT("'"&amp;E3&amp;"'!"&amp;"D10"))&lt;2021=TRUE,SUM(INDIRECT("'"&amp;E3&amp;"'!"&amp;"L"&amp;MATCH(DATE(2021,1,DAY(INDIRECT("'"&amp;E3&amp;"'!"&amp;"D10"))),INDIRECT("'"&amp;E3&amp;"'!"&amp;"C:C"))):INDIRECT("'"&amp;E3&amp;"'!"&amp;"L"&amp;MATCH(DATE(2021,12,DAY(INDIRECT("'"&amp;E3&amp;"'!"&amp;"D10"))),INDIRECT("'"&amp;E3&amp;"'!"&amp;"C:C")))),SUM(INDIRECT("'"&amp;E3&amp;"'!"&amp;"L"&amp;MATCH(DATE(2021,MAX(1,MONTH(INDIRECT("'"&amp;E3&amp;"'!"&amp;"D10"))),DAY(INDIRECT("'"&amp;E3&amp;"'!"&amp;"D10"))),INDIRECT("'"&amp;E3&amp;"'!"&amp;"C:C"))):INDIRECT("'"&amp;E3&amp;"'!"&amp;"L"&amp;MATCH(DATE(2021,12,DAY(INDIRECT("'"&amp;E3&amp;"'!"&amp;"D10"))),INDIRECT("'"&amp;E3&amp;"'!"&amp;"C:C")))))</f>
        <v>-57431.980606317709</v>
      </c>
    </row>
    <row r="4" spans="1:11" x14ac:dyDescent="0.45">
      <c r="B4" t="s">
        <v>10</v>
      </c>
      <c r="C4" s="3">
        <f ca="1">SUM(F:F)</f>
        <v>14494447.875278024</v>
      </c>
      <c r="E4" s="138" t="s">
        <v>11</v>
      </c>
      <c r="F4" s="5" cm="1">
        <f t="array" aca="1" ref="F4" ca="1">IF(YEAR(INDIRECT("'"&amp;E4&amp;"'!"&amp;"D10"))&lt;2021=TRUE,INDEX(INDIRECT("'"&amp;E4&amp;"'!"&amp;"K:K"),MATCH(DATE(2021,1,DAY(INDIRECT("'"&amp;E4&amp;"'!"&amp;"D10"))),INDIRECT("'"&amp;E4&amp;"'!"&amp;"C:C"))),INDEX(INDIRECT("'"&amp;E4&amp;"'!"&amp;"K:K"),MATCH(DATE(2021,MAX(1,MONTH(INDIRECT("'"&amp;E4&amp;"'!"&amp;"D10"))),DAY(INDIRECT("'"&amp;E4&amp;"'!"&amp;"D10"))),INDIRECT("'"&amp;E4&amp;"'!"&amp;"C:C"))))</f>
        <v>567491.45185208321</v>
      </c>
      <c r="G4" s="5" cm="1">
        <f t="array" aca="1" ref="G4" ca="1">IF(YEAR(INDIRECT("'"&amp;E4&amp;"'!"&amp;"D10"))&lt;2021=TRUE,INDEX(INDIRECT("'"&amp;E4&amp;"'!"&amp;"E:E"),MATCH(DATE(2021,1,DAY(INDIRECT("'"&amp;E4&amp;"'!"&amp;"D10"))),INDIRECT("'"&amp;E4&amp;"'!"&amp;"C:C"))),INDEX(INDIRECT("'"&amp;E4&amp;"'!"&amp;"E:E"),MATCH(DATE(2021,MAX(1,MONTH(INDIRECT("'"&amp;E4&amp;"'!"&amp;"D10"))),DAY(INDIRECT("'"&amp;E4&amp;"'!"&amp;"D10"))),INDIRECT("'"&amp;E4&amp;"'!"&amp;"C:C"))))</f>
        <v>567491.45185208321</v>
      </c>
      <c r="H4" s="5" cm="1">
        <f t="array" aca="1" ref="H4" ca="1">IF(YEAR(INDIRECT("'"&amp;E4&amp;"'!"&amp;"D10"))&lt;2021=TRUE,SUM(INDIRECT("'"&amp;E4&amp;"'!"&amp;"F"&amp;MATCH(DATE(2021,1,DAY(INDIRECT("'"&amp;E4&amp;"'!"&amp;"D10"))),INDIRECT("'"&amp;E4&amp;"'!"&amp;"C:C"))):INDIRECT("'"&amp;E4&amp;"'!"&amp;"G"&amp;MATCH(DATE(2021,12,DAY(INDIRECT("'"&amp;E4&amp;"'!"&amp;"D10"))),INDIRECT("'"&amp;E4&amp;"'!"&amp;"C:C")))),SUM(INDIRECT("'"&amp;E4&amp;"'!"&amp;"F"&amp;MATCH(DATE(2021,MAX(1,MONTH(INDIRECT("'"&amp;E4&amp;"'!"&amp;"D10"))),DAY(INDIRECT("'"&amp;E4&amp;"'!"&amp;"D10"))),INDIRECT("'"&amp;E4&amp;"'!"&amp;"C:C"))):INDIRECT("'"&amp;E4&amp;"'!"&amp;"G"&amp;MATCH(DATE(2021,12,DAY(INDIRECT("'"&amp;E4&amp;"'!"&amp;"D10"))),INDIRECT("'"&amp;E4&amp;"'!"&amp;"C:C")))))</f>
        <v>-45086.208404426521</v>
      </c>
      <c r="I4" s="5" cm="1">
        <f t="array" aca="1" ref="I4" ca="1">IF(YEAR(INDIRECT("'"&amp;E4&amp;"'!"&amp;"D10"))&lt;2021=TRUE,SUM(INDIRECT("'"&amp;E4&amp;"'!"&amp;"F"&amp;MATCH(DATE(2021,1,DAY(INDIRECT("'"&amp;E4&amp;"'!"&amp;"D10"))),INDIRECT("'"&amp;E4&amp;"'!"&amp;"C:C"))):INDIRECT("'"&amp;E4&amp;"'!"&amp;"F"&amp;MATCH(DATE(2021,12,DAY(INDIRECT("'"&amp;E4&amp;"'!"&amp;"D10"))),INDIRECT("'"&amp;E4&amp;"'!"&amp;"C:C")))),SUM(INDIRECT("'"&amp;E4&amp;"'!"&amp;"F"&amp;MATCH(DATE(2021,MAX(1,MONTH(INDIRECT("'"&amp;E4&amp;"'!"&amp;"D10"))),DAY(INDIRECT("'"&amp;E4&amp;"'!"&amp;"D10"))),INDIRECT("'"&amp;E4&amp;"'!"&amp;"C:C"))):INDIRECT("'"&amp;E4&amp;"'!"&amp;"F"&amp;MATCH(DATE(2021,12,DAY(INDIRECT("'"&amp;E4&amp;"'!"&amp;"D10"))),INDIRECT("'"&amp;E4&amp;"'!"&amp;"C:C")))))</f>
        <v>-49701.96</v>
      </c>
      <c r="J4" s="5" cm="1">
        <f t="array" aca="1" ref="J4" ca="1">IF(YEAR(INDIRECT("'"&amp;E4&amp;"'!"&amp;"D10"))&lt;2021=TRUE,SUM(INDIRECT("'"&amp;E4&amp;"'!"&amp;"G"&amp;MATCH(DATE(2021,1,DAY(INDIRECT("'"&amp;E4&amp;"'!"&amp;"D10"))),INDIRECT("'"&amp;E4&amp;"'!"&amp;"C:C"))):INDIRECT("'"&amp;E4&amp;"'!"&amp;"G"&amp;MATCH(DATE(2021,12,DAY(INDIRECT("'"&amp;E4&amp;"'!"&amp;"D10"))),INDIRECT("'"&amp;E4&amp;"'!"&amp;"C:C")))),SUM(INDIRECT("'"&amp;E4&amp;"'!"&amp;"G"&amp;MATCH(DATE(2021,MAX(1,MONTH(INDIRECT("'"&amp;E4&amp;"'!"&amp;"D10"))),DAY(INDIRECT("'"&amp;E4&amp;"'!"&amp;"D10"))),INDIRECT("'"&amp;E4&amp;"'!"&amp;"C:C"))):INDIRECT("'"&amp;E4&amp;"'!"&amp;"G"&amp;MATCH(DATE(2021,12,DAY(INDIRECT("'"&amp;E4&amp;"'!"&amp;"D10"))),INDIRECT("'"&amp;E4&amp;"'!"&amp;"C:C")))))</f>
        <v>4615.7515955734798</v>
      </c>
      <c r="K4" s="134" cm="1">
        <f t="array" aca="1" ref="K4" ca="1">IF(YEAR(INDIRECT("'"&amp;E4&amp;"'!"&amp;"D10"))&lt;2021=TRUE,SUM(INDIRECT("'"&amp;E4&amp;"'!"&amp;"L"&amp;MATCH(DATE(2021,1,DAY(INDIRECT("'"&amp;E4&amp;"'!"&amp;"D10"))),INDIRECT("'"&amp;E4&amp;"'!"&amp;"C:C"))):INDIRECT("'"&amp;E4&amp;"'!"&amp;"L"&amp;MATCH(DATE(2021,12,DAY(INDIRECT("'"&amp;E4&amp;"'!"&amp;"D10"))),INDIRECT("'"&amp;E4&amp;"'!"&amp;"C:C")))),SUM(INDIRECT("'"&amp;E4&amp;"'!"&amp;"L"&amp;MATCH(DATE(2021,MAX(1,MONTH(INDIRECT("'"&amp;E4&amp;"'!"&amp;"D10"))),DAY(INDIRECT("'"&amp;E4&amp;"'!"&amp;"D10"))),INDIRECT("'"&amp;E4&amp;"'!"&amp;"C:C"))):INDIRECT("'"&amp;E4&amp;"'!"&amp;"L"&amp;MATCH(DATE(2021,12,DAY(INDIRECT("'"&amp;E4&amp;"'!"&amp;"D10"))),INDIRECT("'"&amp;E4&amp;"'!"&amp;"C:C")))))</f>
        <v>-47290.954321006939</v>
      </c>
    </row>
    <row r="5" spans="1:11" x14ac:dyDescent="0.45">
      <c r="B5" t="s">
        <v>12</v>
      </c>
      <c r="C5" s="3">
        <f ca="1">-SUM(G:G)</f>
        <v>-14605651.878345348</v>
      </c>
      <c r="E5" s="138" t="s">
        <v>13</v>
      </c>
      <c r="F5" s="5" cm="1">
        <f t="array" aca="1" ref="F5" ca="1">IF(YEAR(INDIRECT("'"&amp;E5&amp;"'!"&amp;"D10"))&lt;2021=TRUE,INDEX(INDIRECT("'"&amp;E5&amp;"'!"&amp;"K:K"),MATCH(DATE(2021,1,DAY(INDIRECT("'"&amp;E5&amp;"'!"&amp;"D10"))),INDIRECT("'"&amp;E5&amp;"'!"&amp;"C:C"))),INDEX(INDIRECT("'"&amp;E5&amp;"'!"&amp;"K:K"),MATCH(DATE(2021,MAX(1,MONTH(INDIRECT("'"&amp;E5&amp;"'!"&amp;"D10"))),DAY(INDIRECT("'"&amp;E5&amp;"'!"&amp;"D10"))),INDIRECT("'"&amp;E5&amp;"'!"&amp;"C:C"))))</f>
        <v>233069.98047897831</v>
      </c>
      <c r="G5" s="5" cm="1">
        <f t="array" aca="1" ref="G5" ca="1">IF(YEAR(INDIRECT("'"&amp;E5&amp;"'!"&amp;"D10"))&lt;2021=TRUE,INDEX(INDIRECT("'"&amp;E5&amp;"'!"&amp;"E:E"),MATCH(DATE(2021,1,DAY(INDIRECT("'"&amp;E5&amp;"'!"&amp;"D10"))),INDIRECT("'"&amp;E5&amp;"'!"&amp;"C:C"))),INDEX(INDIRECT("'"&amp;E5&amp;"'!"&amp;"E:E"),MATCH(DATE(2021,MAX(1,MONTH(INDIRECT("'"&amp;E5&amp;"'!"&amp;"D10"))),DAY(INDIRECT("'"&amp;E5&amp;"'!"&amp;"D10"))),INDIRECT("'"&amp;E5&amp;"'!"&amp;"C:C"))))</f>
        <v>233069.98047897831</v>
      </c>
      <c r="H5" s="5" cm="1">
        <f t="array" aca="1" ref="H5" ca="1">IF(YEAR(INDIRECT("'"&amp;E5&amp;"'!"&amp;"D10"))&lt;2021=TRUE,SUM(INDIRECT("'"&amp;E5&amp;"'!"&amp;"F"&amp;MATCH(DATE(2021,1,DAY(INDIRECT("'"&amp;E5&amp;"'!"&amp;"D10"))),INDIRECT("'"&amp;E5&amp;"'!"&amp;"C:C"))):INDIRECT("'"&amp;E5&amp;"'!"&amp;"G"&amp;MATCH(DATE(2021,12,DAY(INDIRECT("'"&amp;E5&amp;"'!"&amp;"D10"))),INDIRECT("'"&amp;E5&amp;"'!"&amp;"C:C")))),SUM(INDIRECT("'"&amp;E5&amp;"'!"&amp;"F"&amp;MATCH(DATE(2021,MAX(1,MONTH(INDIRECT("'"&amp;E5&amp;"'!"&amp;"D10"))),DAY(INDIRECT("'"&amp;E5&amp;"'!"&amp;"D10"))),INDIRECT("'"&amp;E5&amp;"'!"&amp;"C:C"))):INDIRECT("'"&amp;E5&amp;"'!"&amp;"G"&amp;MATCH(DATE(2021,12,DAY(INDIRECT("'"&amp;E5&amp;"'!"&amp;"D10"))),INDIRECT("'"&amp;E5&amp;"'!"&amp;"C:C")))))</f>
        <v>-38290.331241741886</v>
      </c>
      <c r="I5" s="5" cm="1">
        <f t="array" aca="1" ref="I5" ca="1">IF(YEAR(INDIRECT("'"&amp;E5&amp;"'!"&amp;"D10"))&lt;2021=TRUE,SUM(INDIRECT("'"&amp;E5&amp;"'!"&amp;"F"&amp;MATCH(DATE(2021,1,DAY(INDIRECT("'"&amp;E5&amp;"'!"&amp;"D10"))),INDIRECT("'"&amp;E5&amp;"'!"&amp;"C:C"))):INDIRECT("'"&amp;E5&amp;"'!"&amp;"F"&amp;MATCH(DATE(2021,12,DAY(INDIRECT("'"&amp;E5&amp;"'!"&amp;"D10"))),INDIRECT("'"&amp;E5&amp;"'!"&amp;"C:C")))),SUM(INDIRECT("'"&amp;E5&amp;"'!"&amp;"F"&amp;MATCH(DATE(2021,MAX(1,MONTH(INDIRECT("'"&amp;E5&amp;"'!"&amp;"D10"))),DAY(INDIRECT("'"&amp;E5&amp;"'!"&amp;"D10"))),INDIRECT("'"&amp;E5&amp;"'!"&amp;"C:C"))):INDIRECT("'"&amp;E5&amp;"'!"&amp;"F"&amp;MATCH(DATE(2021,12,DAY(INDIRECT("'"&amp;E5&amp;"'!"&amp;"D10"))),INDIRECT("'"&amp;E5&amp;"'!"&amp;"C:C")))))</f>
        <v>-39460.400000000001</v>
      </c>
      <c r="J5" s="5" cm="1">
        <f t="array" aca="1" ref="J5" ca="1">IF(YEAR(INDIRECT("'"&amp;E5&amp;"'!"&amp;"D10"))&lt;2021=TRUE,SUM(INDIRECT("'"&amp;E5&amp;"'!"&amp;"G"&amp;MATCH(DATE(2021,1,DAY(INDIRECT("'"&amp;E5&amp;"'!"&amp;"D10"))),INDIRECT("'"&amp;E5&amp;"'!"&amp;"C:C"))):INDIRECT("'"&amp;E5&amp;"'!"&amp;"G"&amp;MATCH(DATE(2021,12,DAY(INDIRECT("'"&amp;E5&amp;"'!"&amp;"D10"))),INDIRECT("'"&amp;E5&amp;"'!"&amp;"C:C")))),SUM(INDIRECT("'"&amp;E5&amp;"'!"&amp;"G"&amp;MATCH(DATE(2021,MAX(1,MONTH(INDIRECT("'"&amp;E5&amp;"'!"&amp;"D10"))),DAY(INDIRECT("'"&amp;E5&amp;"'!"&amp;"D10"))),INDIRECT("'"&amp;E5&amp;"'!"&amp;"C:C"))):INDIRECT("'"&amp;E5&amp;"'!"&amp;"G"&amp;MATCH(DATE(2021,12,DAY(INDIRECT("'"&amp;E5&amp;"'!"&amp;"D10"))),INDIRECT("'"&amp;E5&amp;"'!"&amp;"C:C")))))</f>
        <v>1170.0687582581218</v>
      </c>
      <c r="K5" s="134" cm="1">
        <f t="array" aca="1" ref="K5" ca="1">IF(YEAR(INDIRECT("'"&amp;E5&amp;"'!"&amp;"D10"))&lt;2021=TRUE,SUM(INDIRECT("'"&amp;E5&amp;"'!"&amp;"L"&amp;MATCH(DATE(2021,1,DAY(INDIRECT("'"&amp;E5&amp;"'!"&amp;"D10"))),INDIRECT("'"&amp;E5&amp;"'!"&amp;"C:C"))):INDIRECT("'"&amp;E5&amp;"'!"&amp;"L"&amp;MATCH(DATE(2021,12,DAY(INDIRECT("'"&amp;E5&amp;"'!"&amp;"D10"))),INDIRECT("'"&amp;E5&amp;"'!"&amp;"C:C")))),SUM(INDIRECT("'"&amp;E5&amp;"'!"&amp;"L"&amp;MATCH(DATE(2021,MAX(1,MONTH(INDIRECT("'"&amp;E5&amp;"'!"&amp;"D10"))),DAY(INDIRECT("'"&amp;E5&amp;"'!"&amp;"D10"))),INDIRECT("'"&amp;E5&amp;"'!"&amp;"C:C"))):INDIRECT("'"&amp;E5&amp;"'!"&amp;"L"&amp;MATCH(DATE(2021,12,DAY(INDIRECT("'"&amp;E5&amp;"'!"&amp;"D10"))),INDIRECT("'"&amp;E5&amp;"'!"&amp;"C:C")))))</f>
        <v>-38844.996746496385</v>
      </c>
    </row>
    <row r="6" spans="1:11" x14ac:dyDescent="0.45">
      <c r="B6" t="s">
        <v>14</v>
      </c>
      <c r="C6" s="3">
        <f ca="1">SUM(C4:C5)</f>
        <v>-111204.00306732394</v>
      </c>
      <c r="E6" s="138" t="s">
        <v>15</v>
      </c>
      <c r="F6" s="5" cm="1">
        <f t="array" aca="1" ref="F6" ca="1">IF(YEAR(INDIRECT("'"&amp;E6&amp;"'!"&amp;"D10"))&lt;2021=TRUE,INDEX(INDIRECT("'"&amp;E6&amp;"'!"&amp;"K:K"),MATCH(DATE(2021,1,DAY(INDIRECT("'"&amp;E6&amp;"'!"&amp;"D10"))),INDIRECT("'"&amp;E6&amp;"'!"&amp;"C:C"))),INDEX(INDIRECT("'"&amp;E6&amp;"'!"&amp;"K:K"),MATCH(DATE(2021,MAX(1,MONTH(INDIRECT("'"&amp;E6&amp;"'!"&amp;"D10"))),DAY(INDIRECT("'"&amp;E6&amp;"'!"&amp;"D10"))),INDIRECT("'"&amp;E6&amp;"'!"&amp;"C:C"))))</f>
        <v>114282.27889964763</v>
      </c>
      <c r="G6" s="5" cm="1">
        <f t="array" aca="1" ref="G6" ca="1">IF(YEAR(INDIRECT("'"&amp;E6&amp;"'!"&amp;"D10"))&lt;2021=TRUE,INDEX(INDIRECT("'"&amp;E6&amp;"'!"&amp;"E:E"),MATCH(DATE(2021,1,DAY(INDIRECT("'"&amp;E6&amp;"'!"&amp;"D10"))),INDIRECT("'"&amp;E6&amp;"'!"&amp;"C:C"))),INDEX(INDIRECT("'"&amp;E6&amp;"'!"&amp;"E:E"),MATCH(DATE(2021,MAX(1,MONTH(INDIRECT("'"&amp;E6&amp;"'!"&amp;"D10"))),DAY(INDIRECT("'"&amp;E6&amp;"'!"&amp;"D10"))),INDIRECT("'"&amp;E6&amp;"'!"&amp;"C:C"))))</f>
        <v>114282.27889964763</v>
      </c>
      <c r="H6" s="5" cm="1">
        <f t="array" aca="1" ref="H6" ca="1">IF(YEAR(INDIRECT("'"&amp;E6&amp;"'!"&amp;"D10"))&lt;2021=TRUE,SUM(INDIRECT("'"&amp;E6&amp;"'!"&amp;"F"&amp;MATCH(DATE(2021,1,DAY(INDIRECT("'"&amp;E6&amp;"'!"&amp;"D10"))),INDIRECT("'"&amp;E6&amp;"'!"&amp;"C:C"))):INDIRECT("'"&amp;E6&amp;"'!"&amp;"G"&amp;MATCH(DATE(2021,12,DAY(INDIRECT("'"&amp;E6&amp;"'!"&amp;"D10"))),INDIRECT("'"&amp;E6&amp;"'!"&amp;"C:C")))),SUM(INDIRECT("'"&amp;E6&amp;"'!"&amp;"F"&amp;MATCH(DATE(2021,MAX(1,MONTH(INDIRECT("'"&amp;E6&amp;"'!"&amp;"D10"))),DAY(INDIRECT("'"&amp;E6&amp;"'!"&amp;"D10"))),INDIRECT("'"&amp;E6&amp;"'!"&amp;"C:C"))):INDIRECT("'"&amp;E6&amp;"'!"&amp;"G"&amp;MATCH(DATE(2021,12,DAY(INDIRECT("'"&amp;E6&amp;"'!"&amp;"D10"))),INDIRECT("'"&amp;E6&amp;"'!"&amp;"C:C")))))</f>
        <v>-114282.27889964846</v>
      </c>
      <c r="I6" s="5" cm="1">
        <f t="array" aca="1" ref="I6" ca="1">IF(YEAR(INDIRECT("'"&amp;E6&amp;"'!"&amp;"D10"))&lt;2021=TRUE,SUM(INDIRECT("'"&amp;E6&amp;"'!"&amp;"F"&amp;MATCH(DATE(2021,1,DAY(INDIRECT("'"&amp;E6&amp;"'!"&amp;"D10"))),INDIRECT("'"&amp;E6&amp;"'!"&amp;"C:C"))):INDIRECT("'"&amp;E6&amp;"'!"&amp;"F"&amp;MATCH(DATE(2021,12,DAY(INDIRECT("'"&amp;E6&amp;"'!"&amp;"D10"))),INDIRECT("'"&amp;E6&amp;"'!"&amp;"C:C")))),SUM(INDIRECT("'"&amp;E6&amp;"'!"&amp;"F"&amp;MATCH(DATE(2021,MAX(1,MONTH(INDIRECT("'"&amp;E6&amp;"'!"&amp;"D10"))),DAY(INDIRECT("'"&amp;E6&amp;"'!"&amp;"D10"))),INDIRECT("'"&amp;E6&amp;"'!"&amp;"C:C"))):INDIRECT("'"&amp;E6&amp;"'!"&amp;"F"&amp;MATCH(DATE(2021,12,DAY(INDIRECT("'"&amp;E6&amp;"'!"&amp;"D10"))),INDIRECT("'"&amp;E6&amp;"'!"&amp;"C:C")))))</f>
        <v>-116092.79999999997</v>
      </c>
      <c r="J6" s="5" cm="1">
        <f t="array" aca="1" ref="J6" ca="1">IF(YEAR(INDIRECT("'"&amp;E6&amp;"'!"&amp;"D10"))&lt;2021=TRUE,SUM(INDIRECT("'"&amp;E6&amp;"'!"&amp;"G"&amp;MATCH(DATE(2021,1,DAY(INDIRECT("'"&amp;E6&amp;"'!"&amp;"D10"))),INDIRECT("'"&amp;E6&amp;"'!"&amp;"C:C"))):INDIRECT("'"&amp;E6&amp;"'!"&amp;"G"&amp;MATCH(DATE(2021,12,DAY(INDIRECT("'"&amp;E6&amp;"'!"&amp;"D10"))),INDIRECT("'"&amp;E6&amp;"'!"&amp;"C:C")))),SUM(INDIRECT("'"&amp;E6&amp;"'!"&amp;"G"&amp;MATCH(DATE(2021,MAX(1,MONTH(INDIRECT("'"&amp;E6&amp;"'!"&amp;"D10"))),DAY(INDIRECT("'"&amp;E6&amp;"'!"&amp;"D10"))),INDIRECT("'"&amp;E6&amp;"'!"&amp;"C:C"))):INDIRECT("'"&amp;E6&amp;"'!"&amp;"G"&amp;MATCH(DATE(2021,12,DAY(INDIRECT("'"&amp;E6&amp;"'!"&amp;"D10"))),INDIRECT("'"&amp;E6&amp;"'!"&amp;"C:C")))))</f>
        <v>1810.5211003515221</v>
      </c>
      <c r="K6" s="134" cm="1">
        <f t="array" aca="1" ref="K6" ca="1">IF(YEAR(INDIRECT("'"&amp;E6&amp;"'!"&amp;"D10"))&lt;2021=TRUE,SUM(INDIRECT("'"&amp;E6&amp;"'!"&amp;"L"&amp;MATCH(DATE(2021,1,DAY(INDIRECT("'"&amp;E6&amp;"'!"&amp;"D10"))),INDIRECT("'"&amp;E6&amp;"'!"&amp;"C:C"))):INDIRECT("'"&amp;E6&amp;"'!"&amp;"L"&amp;MATCH(DATE(2021,12,DAY(INDIRECT("'"&amp;E6&amp;"'!"&amp;"D10"))),INDIRECT("'"&amp;E6&amp;"'!"&amp;"C:C")))),SUM(INDIRECT("'"&amp;E6&amp;"'!"&amp;"L"&amp;MATCH(DATE(2021,MAX(1,MONTH(INDIRECT("'"&amp;E6&amp;"'!"&amp;"D10"))),DAY(INDIRECT("'"&amp;E6&amp;"'!"&amp;"D10"))),INDIRECT("'"&amp;E6&amp;"'!"&amp;"C:C"))):INDIRECT("'"&amp;E6&amp;"'!"&amp;"L"&amp;MATCH(DATE(2021,12,DAY(INDIRECT("'"&amp;E6&amp;"'!"&amp;"D10"))),INDIRECT("'"&amp;E6&amp;"'!"&amp;"C:C")))))</f>
        <v>-114282.27889964763</v>
      </c>
    </row>
    <row r="7" spans="1:11" x14ac:dyDescent="0.45">
      <c r="E7" s="138" t="s">
        <v>16</v>
      </c>
      <c r="F7" s="5" cm="1">
        <f t="array" aca="1" ref="F7" ca="1">IF(YEAR(INDIRECT("'"&amp;E7&amp;"'!"&amp;"D10"))&lt;2021=TRUE,INDEX(INDIRECT("'"&amp;E7&amp;"'!"&amp;"K:K"),MATCH(DATE(2021,1,DAY(INDIRECT("'"&amp;E7&amp;"'!"&amp;"D10"))),INDIRECT("'"&amp;E7&amp;"'!"&amp;"C:C"))),INDEX(INDIRECT("'"&amp;E7&amp;"'!"&amp;"K:K"),MATCH(DATE(2021,MAX(1,MONTH(INDIRECT("'"&amp;E7&amp;"'!"&amp;"D10"))),DAY(INDIRECT("'"&amp;E7&amp;"'!"&amp;"D10"))),INDIRECT("'"&amp;E7&amp;"'!"&amp;"C:C"))))</f>
        <v>444473.98577046453</v>
      </c>
      <c r="G7" s="5" cm="1">
        <f t="array" aca="1" ref="G7" ca="1">IF(YEAR(INDIRECT("'"&amp;E7&amp;"'!"&amp;"D10"))&lt;2021=TRUE,INDEX(INDIRECT("'"&amp;E7&amp;"'!"&amp;"E:E"),MATCH(DATE(2021,1,DAY(INDIRECT("'"&amp;E7&amp;"'!"&amp;"D10"))),INDIRECT("'"&amp;E7&amp;"'!"&amp;"C:C"))),INDEX(INDIRECT("'"&amp;E7&amp;"'!"&amp;"E:E"),MATCH(DATE(2021,MAX(1,MONTH(INDIRECT("'"&amp;E7&amp;"'!"&amp;"D10"))),DAY(INDIRECT("'"&amp;E7&amp;"'!"&amp;"D10"))),INDIRECT("'"&amp;E7&amp;"'!"&amp;"C:C"))))</f>
        <v>456587.88283121673</v>
      </c>
      <c r="H7" s="5" cm="1">
        <f t="array" aca="1" ref="H7" ca="1">IF(YEAR(INDIRECT("'"&amp;E7&amp;"'!"&amp;"D10"))&lt;2021=TRUE,SUM(INDIRECT("'"&amp;E7&amp;"'!"&amp;"F"&amp;MATCH(DATE(2021,1,DAY(INDIRECT("'"&amp;E7&amp;"'!"&amp;"D10"))),INDIRECT("'"&amp;E7&amp;"'!"&amp;"C:C"))):INDIRECT("'"&amp;E7&amp;"'!"&amp;"G"&amp;MATCH(DATE(2021,12,DAY(INDIRECT("'"&amp;E7&amp;"'!"&amp;"D10"))),INDIRECT("'"&amp;E7&amp;"'!"&amp;"C:C")))),SUM(INDIRECT("'"&amp;E7&amp;"'!"&amp;"F"&amp;MATCH(DATE(2021,MAX(1,MONTH(INDIRECT("'"&amp;E7&amp;"'!"&amp;"D10"))),DAY(INDIRECT("'"&amp;E7&amp;"'!"&amp;"D10"))),INDIRECT("'"&amp;E7&amp;"'!"&amp;"C:C"))):INDIRECT("'"&amp;E7&amp;"'!"&amp;"G"&amp;MATCH(DATE(2021,12,DAY(INDIRECT("'"&amp;E7&amp;"'!"&amp;"D10"))),INDIRECT("'"&amp;E7&amp;"'!"&amp;"C:C")))))</f>
        <v>-319979.80551458086</v>
      </c>
      <c r="I7" s="5" cm="1">
        <f t="array" aca="1" ref="I7" ca="1">IF(YEAR(INDIRECT("'"&amp;E7&amp;"'!"&amp;"D10"))&lt;2021=TRUE,SUM(INDIRECT("'"&amp;E7&amp;"'!"&amp;"F"&amp;MATCH(DATE(2021,1,DAY(INDIRECT("'"&amp;E7&amp;"'!"&amp;"D10"))),INDIRECT("'"&amp;E7&amp;"'!"&amp;"C:C"))):INDIRECT("'"&amp;E7&amp;"'!"&amp;"F"&amp;MATCH(DATE(2021,12,DAY(INDIRECT("'"&amp;E7&amp;"'!"&amp;"D10"))),INDIRECT("'"&amp;E7&amp;"'!"&amp;"C:C")))),SUM(INDIRECT("'"&amp;E7&amp;"'!"&amp;"F"&amp;MATCH(DATE(2021,MAX(1,MONTH(INDIRECT("'"&amp;E7&amp;"'!"&amp;"D10"))),DAY(INDIRECT("'"&amp;E7&amp;"'!"&amp;"D10"))),INDIRECT("'"&amp;E7&amp;"'!"&amp;"C:C"))):INDIRECT("'"&amp;E7&amp;"'!"&amp;"F"&amp;MATCH(DATE(2021,12,DAY(INDIRECT("'"&amp;E7&amp;"'!"&amp;"D10"))),INDIRECT("'"&amp;E7&amp;"'!"&amp;"C:C")))))</f>
        <v>-329741.87999999995</v>
      </c>
      <c r="J7" s="5" cm="1">
        <f t="array" aca="1" ref="J7" ca="1">IF(YEAR(INDIRECT("'"&amp;E7&amp;"'!"&amp;"D10"))&lt;2021=TRUE,SUM(INDIRECT("'"&amp;E7&amp;"'!"&amp;"G"&amp;MATCH(DATE(2021,1,DAY(INDIRECT("'"&amp;E7&amp;"'!"&amp;"D10"))),INDIRECT("'"&amp;E7&amp;"'!"&amp;"C:C"))):INDIRECT("'"&amp;E7&amp;"'!"&amp;"G"&amp;MATCH(DATE(2021,12,DAY(INDIRECT("'"&amp;E7&amp;"'!"&amp;"D10"))),INDIRECT("'"&amp;E7&amp;"'!"&amp;"C:C")))),SUM(INDIRECT("'"&amp;E7&amp;"'!"&amp;"G"&amp;MATCH(DATE(2021,MAX(1,MONTH(INDIRECT("'"&amp;E7&amp;"'!"&amp;"D10"))),DAY(INDIRECT("'"&amp;E7&amp;"'!"&amp;"D10"))),INDIRECT("'"&amp;E7&amp;"'!"&amp;"C:C"))):INDIRECT("'"&amp;E7&amp;"'!"&amp;"G"&amp;MATCH(DATE(2021,12,DAY(INDIRECT("'"&amp;E7&amp;"'!"&amp;"D10"))),INDIRECT("'"&amp;E7&amp;"'!"&amp;"C:C")))))</f>
        <v>9762.0744854191053</v>
      </c>
      <c r="K7" s="134" cm="1">
        <f t="array" aca="1" ref="K7" ca="1">IF(YEAR(INDIRECT("'"&amp;E7&amp;"'!"&amp;"D10"))&lt;2021=TRUE,SUM(INDIRECT("'"&amp;E7&amp;"'!"&amp;"L"&amp;MATCH(DATE(2021,1,DAY(INDIRECT("'"&amp;E7&amp;"'!"&amp;"D10"))),INDIRECT("'"&amp;E7&amp;"'!"&amp;"C:C"))):INDIRECT("'"&amp;E7&amp;"'!"&amp;"L"&amp;MATCH(DATE(2021,12,DAY(INDIRECT("'"&amp;E7&amp;"'!"&amp;"D10"))),INDIRECT("'"&amp;E7&amp;"'!"&amp;"C:C")))),SUM(INDIRECT("'"&amp;E7&amp;"'!"&amp;"L"&amp;MATCH(DATE(2021,MAX(1,MONTH(INDIRECT("'"&amp;E7&amp;"'!"&amp;"D10"))),DAY(INDIRECT("'"&amp;E7&amp;"'!"&amp;"D10"))),INDIRECT("'"&amp;E7&amp;"'!"&amp;"C:C"))):INDIRECT("'"&amp;E7&amp;"'!"&amp;"L"&amp;MATCH(DATE(2021,12,DAY(INDIRECT("'"&amp;E7&amp;"'!"&amp;"D10"))),INDIRECT("'"&amp;E7&amp;"'!"&amp;"C:C")))))</f>
        <v>-313746.34289679828</v>
      </c>
    </row>
    <row r="8" spans="1:11" x14ac:dyDescent="0.45">
      <c r="A8" s="127" t="s">
        <v>17</v>
      </c>
      <c r="E8" s="138" t="s">
        <v>18</v>
      </c>
      <c r="F8" s="5" cm="1">
        <f t="array" aca="1" ref="F8" ca="1">IF(YEAR(INDIRECT("'"&amp;E8&amp;"'!"&amp;"D10"))&lt;2021=TRUE,INDEX(INDIRECT("'"&amp;E8&amp;"'!"&amp;"K:K"),MATCH(DATE(2021,1,DAY(INDIRECT("'"&amp;E8&amp;"'!"&amp;"D10"))),INDIRECT("'"&amp;E8&amp;"'!"&amp;"C:C"))),INDEX(INDIRECT("'"&amp;E8&amp;"'!"&amp;"K:K"),MATCH(DATE(2021,MAX(1,MONTH(INDIRECT("'"&amp;E8&amp;"'!"&amp;"D10"))),DAY(INDIRECT("'"&amp;E8&amp;"'!"&amp;"D10"))),INDIRECT("'"&amp;E8&amp;"'!"&amp;"C:C"))))</f>
        <v>625228.52796173748</v>
      </c>
      <c r="G8" s="5" cm="1">
        <f t="array" aca="1" ref="G8" ca="1">IF(YEAR(INDIRECT("'"&amp;E8&amp;"'!"&amp;"D10"))&lt;2021=TRUE,INDEX(INDIRECT("'"&amp;E8&amp;"'!"&amp;"E:E"),MATCH(DATE(2021,1,DAY(INDIRECT("'"&amp;E8&amp;"'!"&amp;"D10"))),INDIRECT("'"&amp;E8&amp;"'!"&amp;"C:C"))),INDEX(INDIRECT("'"&amp;E8&amp;"'!"&amp;"E:E"),MATCH(DATE(2021,MAX(1,MONTH(INDIRECT("'"&amp;E8&amp;"'!"&amp;"D10"))),DAY(INDIRECT("'"&amp;E8&amp;"'!"&amp;"D10"))),INDIRECT("'"&amp;E8&amp;"'!"&amp;"C:C"))))</f>
        <v>640445.97124278266</v>
      </c>
      <c r="H8" s="5" cm="1">
        <f t="array" aca="1" ref="H8" ca="1">IF(YEAR(INDIRECT("'"&amp;E8&amp;"'!"&amp;"D10"))&lt;2021=TRUE,SUM(INDIRECT("'"&amp;E8&amp;"'!"&amp;"F"&amp;MATCH(DATE(2021,1,DAY(INDIRECT("'"&amp;E8&amp;"'!"&amp;"D10"))),INDIRECT("'"&amp;E8&amp;"'!"&amp;"C:C"))):INDIRECT("'"&amp;E8&amp;"'!"&amp;"G"&amp;MATCH(DATE(2021,12,DAY(INDIRECT("'"&amp;E8&amp;"'!"&amp;"D10"))),INDIRECT("'"&amp;E8&amp;"'!"&amp;"C:C")))),SUM(INDIRECT("'"&amp;E8&amp;"'!"&amp;"F"&amp;MATCH(DATE(2021,MAX(1,MONTH(INDIRECT("'"&amp;E8&amp;"'!"&amp;"D10"))),DAY(INDIRECT("'"&amp;E8&amp;"'!"&amp;"D10"))),INDIRECT("'"&amp;E8&amp;"'!"&amp;"C:C"))):INDIRECT("'"&amp;E8&amp;"'!"&amp;"G"&amp;MATCH(DATE(2021,12,DAY(INDIRECT("'"&amp;E8&amp;"'!"&amp;"D10"))),INDIRECT("'"&amp;E8&amp;"'!"&amp;"C:C")))))</f>
        <v>-400424.15744834457</v>
      </c>
      <c r="I8" s="5" cm="1">
        <f t="array" aca="1" ref="I8" ca="1">IF(YEAR(INDIRECT("'"&amp;E8&amp;"'!"&amp;"D10"))&lt;2021=TRUE,SUM(INDIRECT("'"&amp;E8&amp;"'!"&amp;"F"&amp;MATCH(DATE(2021,1,DAY(INDIRECT("'"&amp;E8&amp;"'!"&amp;"D10"))),INDIRECT("'"&amp;E8&amp;"'!"&amp;"C:C"))):INDIRECT("'"&amp;E8&amp;"'!"&amp;"F"&amp;MATCH(DATE(2021,12,DAY(INDIRECT("'"&amp;E8&amp;"'!"&amp;"D10"))),INDIRECT("'"&amp;E8&amp;"'!"&amp;"C:C")))),SUM(INDIRECT("'"&amp;E8&amp;"'!"&amp;"F"&amp;MATCH(DATE(2021,MAX(1,MONTH(INDIRECT("'"&amp;E8&amp;"'!"&amp;"D10"))),DAY(INDIRECT("'"&amp;E8&amp;"'!"&amp;"D10"))),INDIRECT("'"&amp;E8&amp;"'!"&amp;"C:C"))):INDIRECT("'"&amp;E8&amp;"'!"&amp;"F"&amp;MATCH(DATE(2021,12,DAY(INDIRECT("'"&amp;E8&amp;"'!"&amp;"D10"))),INDIRECT("'"&amp;E8&amp;"'!"&amp;"C:C")))))</f>
        <v>-415013.16</v>
      </c>
      <c r="J8" s="5" cm="1">
        <f t="array" aca="1" ref="J8" ca="1">IF(YEAR(INDIRECT("'"&amp;E8&amp;"'!"&amp;"D10"))&lt;2021=TRUE,SUM(INDIRECT("'"&amp;E8&amp;"'!"&amp;"G"&amp;MATCH(DATE(2021,1,DAY(INDIRECT("'"&amp;E8&amp;"'!"&amp;"D10"))),INDIRECT("'"&amp;E8&amp;"'!"&amp;"C:C"))):INDIRECT("'"&amp;E8&amp;"'!"&amp;"G"&amp;MATCH(DATE(2021,12,DAY(INDIRECT("'"&amp;E8&amp;"'!"&amp;"D10"))),INDIRECT("'"&amp;E8&amp;"'!"&amp;"C:C")))),SUM(INDIRECT("'"&amp;E8&amp;"'!"&amp;"G"&amp;MATCH(DATE(2021,MAX(1,MONTH(INDIRECT("'"&amp;E8&amp;"'!"&amp;"D10"))),DAY(INDIRECT("'"&amp;E8&amp;"'!"&amp;"D10"))),INDIRECT("'"&amp;E8&amp;"'!"&amp;"C:C"))):INDIRECT("'"&amp;E8&amp;"'!"&amp;"G"&amp;MATCH(DATE(2021,12,DAY(INDIRECT("'"&amp;E8&amp;"'!"&amp;"D10"))),INDIRECT("'"&amp;E8&amp;"'!"&amp;"C:C")))))</f>
        <v>14589.002551655381</v>
      </c>
      <c r="K8" s="134" cm="1">
        <f t="array" aca="1" ref="K8" ca="1">IF(YEAR(INDIRECT("'"&amp;E8&amp;"'!"&amp;"D10"))&lt;2021=TRUE,SUM(INDIRECT("'"&amp;E8&amp;"'!"&amp;"L"&amp;MATCH(DATE(2021,1,DAY(INDIRECT("'"&amp;E8&amp;"'!"&amp;"D10"))),INDIRECT("'"&amp;E8&amp;"'!"&amp;"C:C"))):INDIRECT("'"&amp;E8&amp;"'!"&amp;"L"&amp;MATCH(DATE(2021,12,DAY(INDIRECT("'"&amp;E8&amp;"'!"&amp;"D10"))),INDIRECT("'"&amp;E8&amp;"'!"&amp;"C:C")))),SUM(INDIRECT("'"&amp;E8&amp;"'!"&amp;"L"&amp;MATCH(DATE(2021,MAX(1,MONTH(INDIRECT("'"&amp;E8&amp;"'!"&amp;"D10"))),DAY(INDIRECT("'"&amp;E8&amp;"'!"&amp;"D10"))),INDIRECT("'"&amp;E8&amp;"'!"&amp;"C:C"))):INDIRECT("'"&amp;E8&amp;"'!"&amp;"L"&amp;MATCH(DATE(2021,12,DAY(INDIRECT("'"&amp;E8&amp;"'!"&amp;"D10"))),INDIRECT("'"&amp;E8&amp;"'!"&amp;"C:C")))))</f>
        <v>-394881.17555478192</v>
      </c>
    </row>
    <row r="9" spans="1:11" x14ac:dyDescent="0.45">
      <c r="B9" t="s">
        <v>12</v>
      </c>
      <c r="C9" s="3">
        <f ca="1">-SUM(H:H)</f>
        <v>4379462.1095290082</v>
      </c>
      <c r="E9" s="138" t="s">
        <v>19</v>
      </c>
      <c r="F9" s="5" cm="1">
        <f t="array" aca="1" ref="F9" ca="1">IF(YEAR(INDIRECT("'"&amp;E9&amp;"'!"&amp;"D10"))&lt;2021=TRUE,INDEX(INDIRECT("'"&amp;E9&amp;"'!"&amp;"K:K"),MATCH(DATE(2021,1,DAY(INDIRECT("'"&amp;E9&amp;"'!"&amp;"D10"))),INDIRECT("'"&amp;E9&amp;"'!"&amp;"C:C"))),INDEX(INDIRECT("'"&amp;E9&amp;"'!"&amp;"K:K"),MATCH(DATE(2021,MAX(1,MONTH(INDIRECT("'"&amp;E9&amp;"'!"&amp;"D10"))),DAY(INDIRECT("'"&amp;E9&amp;"'!"&amp;"D10"))),INDIRECT("'"&amp;E9&amp;"'!"&amp;"C:C"))))</f>
        <v>394815.3001465908</v>
      </c>
      <c r="G9" s="5" cm="1">
        <f t="array" aca="1" ref="G9" ca="1">IF(YEAR(INDIRECT("'"&amp;E9&amp;"'!"&amp;"D10"))&lt;2021=TRUE,INDEX(INDIRECT("'"&amp;E9&amp;"'!"&amp;"E:E"),MATCH(DATE(2021,1,DAY(INDIRECT("'"&amp;E9&amp;"'!"&amp;"D10"))),INDIRECT("'"&amp;E9&amp;"'!"&amp;"C:C"))),INDEX(INDIRECT("'"&amp;E9&amp;"'!"&amp;"E:E"),MATCH(DATE(2021,MAX(1,MONTH(INDIRECT("'"&amp;E9&amp;"'!"&amp;"D10"))),DAY(INDIRECT("'"&amp;E9&amp;"'!"&amp;"D10"))),INDIRECT("'"&amp;E9&amp;"'!"&amp;"C:C"))))</f>
        <v>405559.94957357994</v>
      </c>
      <c r="H9" s="5" cm="1">
        <f t="array" aca="1" ref="H9" ca="1">IF(YEAR(INDIRECT("'"&amp;E9&amp;"'!"&amp;"D10"))&lt;2021=TRUE,SUM(INDIRECT("'"&amp;E9&amp;"'!"&amp;"F"&amp;MATCH(DATE(2021,1,DAY(INDIRECT("'"&amp;E9&amp;"'!"&amp;"D10"))),INDIRECT("'"&amp;E9&amp;"'!"&amp;"C:C"))):INDIRECT("'"&amp;E9&amp;"'!"&amp;"G"&amp;MATCH(DATE(2021,12,DAY(INDIRECT("'"&amp;E9&amp;"'!"&amp;"D10"))),INDIRECT("'"&amp;E9&amp;"'!"&amp;"C:C")))),SUM(INDIRECT("'"&amp;E9&amp;"'!"&amp;"F"&amp;MATCH(DATE(2021,MAX(1,MONTH(INDIRECT("'"&amp;E9&amp;"'!"&amp;"D10"))),DAY(INDIRECT("'"&amp;E9&amp;"'!"&amp;"D10"))),INDIRECT("'"&amp;E9&amp;"'!"&amp;"C:C"))):INDIRECT("'"&amp;E9&amp;"'!"&amp;"G"&amp;MATCH(DATE(2021,12,DAY(INDIRECT("'"&amp;E9&amp;"'!"&amp;"D10"))),INDIRECT("'"&amp;E9&amp;"'!"&amp;"C:C")))))</f>
        <v>-240540.45259027524</v>
      </c>
      <c r="I9" s="5" cm="1">
        <f t="array" aca="1" ref="I9" ca="1">IF(YEAR(INDIRECT("'"&amp;E9&amp;"'!"&amp;"D10"))&lt;2021=TRUE,SUM(INDIRECT("'"&amp;E9&amp;"'!"&amp;"F"&amp;MATCH(DATE(2021,1,DAY(INDIRECT("'"&amp;E9&amp;"'!"&amp;"D10"))),INDIRECT("'"&amp;E9&amp;"'!"&amp;"C:C"))):INDIRECT("'"&amp;E9&amp;"'!"&amp;"F"&amp;MATCH(DATE(2021,12,DAY(INDIRECT("'"&amp;E9&amp;"'!"&amp;"D10"))),INDIRECT("'"&amp;E9&amp;"'!"&amp;"C:C")))),SUM(INDIRECT("'"&amp;E9&amp;"'!"&amp;"F"&amp;MATCH(DATE(2021,MAX(1,MONTH(INDIRECT("'"&amp;E9&amp;"'!"&amp;"D10"))),DAY(INDIRECT("'"&amp;E9&amp;"'!"&amp;"D10"))),INDIRECT("'"&amp;E9&amp;"'!"&amp;"C:C"))):INDIRECT("'"&amp;E9&amp;"'!"&amp;"F"&amp;MATCH(DATE(2021,12,DAY(INDIRECT("'"&amp;E9&amp;"'!"&amp;"D10"))),INDIRECT("'"&amp;E9&amp;"'!"&amp;"C:C")))))</f>
        <v>-250020</v>
      </c>
      <c r="J9" s="5" cm="1">
        <f t="array" aca="1" ref="J9" ca="1">IF(YEAR(INDIRECT("'"&amp;E9&amp;"'!"&amp;"D10"))&lt;2021=TRUE,SUM(INDIRECT("'"&amp;E9&amp;"'!"&amp;"G"&amp;MATCH(DATE(2021,1,DAY(INDIRECT("'"&amp;E9&amp;"'!"&amp;"D10"))),INDIRECT("'"&amp;E9&amp;"'!"&amp;"C:C"))):INDIRECT("'"&amp;E9&amp;"'!"&amp;"G"&amp;MATCH(DATE(2021,12,DAY(INDIRECT("'"&amp;E9&amp;"'!"&amp;"D10"))),INDIRECT("'"&amp;E9&amp;"'!"&amp;"C:C")))),SUM(INDIRECT("'"&amp;E9&amp;"'!"&amp;"G"&amp;MATCH(DATE(2021,MAX(1,MONTH(INDIRECT("'"&amp;E9&amp;"'!"&amp;"D10"))),DAY(INDIRECT("'"&amp;E9&amp;"'!"&amp;"D10"))),INDIRECT("'"&amp;E9&amp;"'!"&amp;"C:C"))):INDIRECT("'"&amp;E9&amp;"'!"&amp;"G"&amp;MATCH(DATE(2021,12,DAY(INDIRECT("'"&amp;E9&amp;"'!"&amp;"D10"))),INDIRECT("'"&amp;E9&amp;"'!"&amp;"C:C")))))</f>
        <v>9479.5474097247516</v>
      </c>
      <c r="K9" s="134" cm="1">
        <f t="array" aca="1" ref="K9" ca="1">IF(YEAR(INDIRECT("'"&amp;E9&amp;"'!"&amp;"D10"))&lt;2021=TRUE,SUM(INDIRECT("'"&amp;E9&amp;"'!"&amp;"L"&amp;MATCH(DATE(2021,1,DAY(INDIRECT("'"&amp;E9&amp;"'!"&amp;"D10"))),INDIRECT("'"&amp;E9&amp;"'!"&amp;"C:C"))):INDIRECT("'"&amp;E9&amp;"'!"&amp;"L"&amp;MATCH(DATE(2021,12,DAY(INDIRECT("'"&amp;E9&amp;"'!"&amp;"D10"))),INDIRECT("'"&amp;E9&amp;"'!"&amp;"C:C")))),SUM(INDIRECT("'"&amp;E9&amp;"'!"&amp;"L"&amp;MATCH(DATE(2021,MAX(1,MONTH(INDIRECT("'"&amp;E9&amp;"'!"&amp;"D10"))),DAY(INDIRECT("'"&amp;E9&amp;"'!"&amp;"D10"))),INDIRECT("'"&amp;E9&amp;"'!"&amp;"C:C"))):INDIRECT("'"&amp;E9&amp;"'!"&amp;"L"&amp;MATCH(DATE(2021,12,DAY(INDIRECT("'"&amp;E9&amp;"'!"&amp;"D10"))),INDIRECT("'"&amp;E9&amp;"'!"&amp;"C:C")))))</f>
        <v>-236889.1800879543</v>
      </c>
    </row>
    <row r="10" spans="1:11" x14ac:dyDescent="0.45">
      <c r="B10" t="s">
        <v>20</v>
      </c>
      <c r="C10" s="3">
        <f ca="1">SUM(J:J)</f>
        <v>265569.73647099198</v>
      </c>
      <c r="E10" s="138" t="s">
        <v>21</v>
      </c>
      <c r="F10" s="5" cm="1">
        <f t="array" aca="1" ref="F10" ca="1">IF(YEAR(INDIRECT("'"&amp;E10&amp;"'!"&amp;"D10"))&lt;2021=TRUE,INDEX(INDIRECT("'"&amp;E10&amp;"'!"&amp;"K:K"),MATCH(DATE(2021,1,DAY(INDIRECT("'"&amp;E10&amp;"'!"&amp;"D10"))),INDIRECT("'"&amp;E10&amp;"'!"&amp;"C:C"))),INDEX(INDIRECT("'"&amp;E10&amp;"'!"&amp;"K:K"),MATCH(DATE(2021,MAX(1,MONTH(INDIRECT("'"&amp;E10&amp;"'!"&amp;"D10"))),DAY(INDIRECT("'"&amp;E10&amp;"'!"&amp;"D10"))),INDIRECT("'"&amp;E10&amp;"'!"&amp;"C:C"))))</f>
        <v>570904.05899792153</v>
      </c>
      <c r="G10" s="5" cm="1">
        <f t="array" aca="1" ref="G10" ca="1">IF(YEAR(INDIRECT("'"&amp;E10&amp;"'!"&amp;"D10"))&lt;2021=TRUE,INDEX(INDIRECT("'"&amp;E10&amp;"'!"&amp;"E:E"),MATCH(DATE(2021,1,DAY(INDIRECT("'"&amp;E10&amp;"'!"&amp;"D10"))),INDIRECT("'"&amp;E10&amp;"'!"&amp;"C:C"))),INDEX(INDIRECT("'"&amp;E10&amp;"'!"&amp;"E:E"),MATCH(DATE(2021,MAX(1,MONTH(INDIRECT("'"&amp;E10&amp;"'!"&amp;"D10"))),DAY(INDIRECT("'"&amp;E10&amp;"'!"&amp;"D10"))),INDIRECT("'"&amp;E10&amp;"'!"&amp;"C:C"))))</f>
        <v>583141.17906869005</v>
      </c>
      <c r="H10" s="5" cm="1">
        <f t="array" aca="1" ref="H10" ca="1">IF(YEAR(INDIRECT("'"&amp;E10&amp;"'!"&amp;"D10"))&lt;2021=TRUE,SUM(INDIRECT("'"&amp;E10&amp;"'!"&amp;"F"&amp;MATCH(DATE(2021,1,DAY(INDIRECT("'"&amp;E10&amp;"'!"&amp;"D10"))),INDIRECT("'"&amp;E10&amp;"'!"&amp;"C:C"))):INDIRECT("'"&amp;E10&amp;"'!"&amp;"G"&amp;MATCH(DATE(2021,12,DAY(INDIRECT("'"&amp;E10&amp;"'!"&amp;"D10"))),INDIRECT("'"&amp;E10&amp;"'!"&amp;"C:C")))),SUM(INDIRECT("'"&amp;E10&amp;"'!"&amp;"F"&amp;MATCH(DATE(2021,MAX(1,MONTH(INDIRECT("'"&amp;E10&amp;"'!"&amp;"D10"))),DAY(INDIRECT("'"&amp;E10&amp;"'!"&amp;"D10"))),INDIRECT("'"&amp;E10&amp;"'!"&amp;"C:C"))):INDIRECT("'"&amp;E10&amp;"'!"&amp;"G"&amp;MATCH(DATE(2021,12,DAY(INDIRECT("'"&amp;E10&amp;"'!"&amp;"D10"))),INDIRECT("'"&amp;E10&amp;"'!"&amp;"C:C")))))</f>
        <v>-328918.9258325402</v>
      </c>
      <c r="I10" s="5" cm="1">
        <f t="array" aca="1" ref="I10" ca="1">IF(YEAR(INDIRECT("'"&amp;E10&amp;"'!"&amp;"D10"))&lt;2021=TRUE,SUM(INDIRECT("'"&amp;E10&amp;"'!"&amp;"F"&amp;MATCH(DATE(2021,1,DAY(INDIRECT("'"&amp;E10&amp;"'!"&amp;"D10"))),INDIRECT("'"&amp;E10&amp;"'!"&amp;"C:C"))):INDIRECT("'"&amp;E10&amp;"'!"&amp;"F"&amp;MATCH(DATE(2021,12,DAY(INDIRECT("'"&amp;E10&amp;"'!"&amp;"D10"))),INDIRECT("'"&amp;E10&amp;"'!"&amp;"C:C")))),SUM(INDIRECT("'"&amp;E10&amp;"'!"&amp;"F"&amp;MATCH(DATE(2021,MAX(1,MONTH(INDIRECT("'"&amp;E10&amp;"'!"&amp;"D10"))),DAY(INDIRECT("'"&amp;E10&amp;"'!"&amp;"D10"))),INDIRECT("'"&amp;E10&amp;"'!"&amp;"C:C"))):INDIRECT("'"&amp;E10&amp;"'!"&amp;"F"&amp;MATCH(DATE(2021,12,DAY(INDIRECT("'"&amp;E10&amp;"'!"&amp;"D10"))),INDIRECT("'"&amp;E10&amp;"'!"&amp;"C:C")))))</f>
        <v>-342862.91999999993</v>
      </c>
      <c r="J10" s="5" cm="1">
        <f t="array" aca="1" ref="J10" ca="1">IF(YEAR(INDIRECT("'"&amp;E10&amp;"'!"&amp;"D10"))&lt;2021=TRUE,SUM(INDIRECT("'"&amp;E10&amp;"'!"&amp;"G"&amp;MATCH(DATE(2021,1,DAY(INDIRECT("'"&amp;E10&amp;"'!"&amp;"D10"))),INDIRECT("'"&amp;E10&amp;"'!"&amp;"C:C"))):INDIRECT("'"&amp;E10&amp;"'!"&amp;"G"&amp;MATCH(DATE(2021,12,DAY(INDIRECT("'"&amp;E10&amp;"'!"&amp;"D10"))),INDIRECT("'"&amp;E10&amp;"'!"&amp;"C:C")))),SUM(INDIRECT("'"&amp;E10&amp;"'!"&amp;"G"&amp;MATCH(DATE(2021,MAX(1,MONTH(INDIRECT("'"&amp;E10&amp;"'!"&amp;"D10"))),DAY(INDIRECT("'"&amp;E10&amp;"'!"&amp;"D10"))),INDIRECT("'"&amp;E10&amp;"'!"&amp;"C:C"))):INDIRECT("'"&amp;E10&amp;"'!"&amp;"G"&amp;MATCH(DATE(2021,12,DAY(INDIRECT("'"&amp;E10&amp;"'!"&amp;"D10"))),INDIRECT("'"&amp;E10&amp;"'!"&amp;"C:C")))))</f>
        <v>13943.994167459763</v>
      </c>
      <c r="K10" s="134" cm="1">
        <f t="array" aca="1" ref="K10" ca="1">IF(YEAR(INDIRECT("'"&amp;E10&amp;"'!"&amp;"D10"))&lt;2021=TRUE,SUM(INDIRECT("'"&amp;E10&amp;"'!"&amp;"L"&amp;MATCH(DATE(2021,1,DAY(INDIRECT("'"&amp;E10&amp;"'!"&amp;"D10"))),INDIRECT("'"&amp;E10&amp;"'!"&amp;"C:C"))):INDIRECT("'"&amp;E10&amp;"'!"&amp;"L"&amp;MATCH(DATE(2021,12,DAY(INDIRECT("'"&amp;E10&amp;"'!"&amp;"D10"))),INDIRECT("'"&amp;E10&amp;"'!"&amp;"C:C")))),SUM(INDIRECT("'"&amp;E10&amp;"'!"&amp;"L"&amp;MATCH(DATE(2021,MAX(1,MONTH(INDIRECT("'"&amp;E10&amp;"'!"&amp;"D10"))),DAY(INDIRECT("'"&amp;E10&amp;"'!"&amp;"D10"))),INDIRECT("'"&amp;E10&amp;"'!"&amp;"C:C"))):INDIRECT("'"&amp;E10&amp;"'!"&amp;"L"&amp;MATCH(DATE(2021,12,DAY(INDIRECT("'"&amp;E10&amp;"'!"&amp;"D10"))),INDIRECT("'"&amp;E10&amp;"'!"&amp;"C:C")))))</f>
        <v>-326230.89085595537</v>
      </c>
    </row>
    <row r="11" spans="1:11" x14ac:dyDescent="0.45">
      <c r="B11" t="s">
        <v>22</v>
      </c>
      <c r="C11" s="3">
        <f ca="1">SUM(I:I)</f>
        <v>-4645031.8459999999</v>
      </c>
      <c r="E11" s="138" t="s">
        <v>23</v>
      </c>
      <c r="F11" s="5" cm="1">
        <f t="array" aca="1" ref="F11" ca="1">IF(YEAR(INDIRECT("'"&amp;E11&amp;"'!"&amp;"D10"))&lt;2021=TRUE,INDEX(INDIRECT("'"&amp;E11&amp;"'!"&amp;"K:K"),MATCH(DATE(2021,1,DAY(INDIRECT("'"&amp;E11&amp;"'!"&amp;"D10"))),INDIRECT("'"&amp;E11&amp;"'!"&amp;"C:C"))),INDEX(INDIRECT("'"&amp;E11&amp;"'!"&amp;"K:K"),MATCH(DATE(2021,MAX(1,MONTH(INDIRECT("'"&amp;E11&amp;"'!"&amp;"D10"))),DAY(INDIRECT("'"&amp;E11&amp;"'!"&amp;"D10"))),INDIRECT("'"&amp;E11&amp;"'!"&amp;"C:C"))))</f>
        <v>296083.51595463709</v>
      </c>
      <c r="G11" s="5" cm="1">
        <f t="array" aca="1" ref="G11" ca="1">IF(YEAR(INDIRECT("'"&amp;E11&amp;"'!"&amp;"D10"))&lt;2021=TRUE,INDEX(INDIRECT("'"&amp;E11&amp;"'!"&amp;"E:E"),MATCH(DATE(2021,1,DAY(INDIRECT("'"&amp;E11&amp;"'!"&amp;"D10"))),INDIRECT("'"&amp;E11&amp;"'!"&amp;"C:C"))),INDEX(INDIRECT("'"&amp;E11&amp;"'!"&amp;"E:E"),MATCH(DATE(2021,MAX(1,MONTH(INDIRECT("'"&amp;E11&amp;"'!"&amp;"D10"))),DAY(INDIRECT("'"&amp;E11&amp;"'!"&amp;"D10"))),INDIRECT("'"&amp;E11&amp;"'!"&amp;"C:C"))))</f>
        <v>302001.2142174922</v>
      </c>
      <c r="H11" s="5" cm="1">
        <f t="array" aca="1" ref="H11" ca="1">IF(YEAR(INDIRECT("'"&amp;E11&amp;"'!"&amp;"D10"))&lt;2021=TRUE,SUM(INDIRECT("'"&amp;E11&amp;"'!"&amp;"F"&amp;MATCH(DATE(2021,1,DAY(INDIRECT("'"&amp;E11&amp;"'!"&amp;"D10"))),INDIRECT("'"&amp;E11&amp;"'!"&amp;"C:C"))):INDIRECT("'"&amp;E11&amp;"'!"&amp;"G"&amp;MATCH(DATE(2021,12,DAY(INDIRECT("'"&amp;E11&amp;"'!"&amp;"D10"))),INDIRECT("'"&amp;E11&amp;"'!"&amp;"C:C")))),SUM(INDIRECT("'"&amp;E11&amp;"'!"&amp;"F"&amp;MATCH(DATE(2021,MAX(1,MONTH(INDIRECT("'"&amp;E11&amp;"'!"&amp;"D10"))),DAY(INDIRECT("'"&amp;E11&amp;"'!"&amp;"D10"))),INDIRECT("'"&amp;E11&amp;"'!"&amp;"C:C"))):INDIRECT("'"&amp;E11&amp;"'!"&amp;"G"&amp;MATCH(DATE(2021,12,DAY(INDIRECT("'"&amp;E11&amp;"'!"&amp;"D10"))),INDIRECT("'"&amp;E11&amp;"'!"&amp;"C:C")))))</f>
        <v>-162364.67464652765</v>
      </c>
      <c r="I11" s="5" cm="1">
        <f t="array" aca="1" ref="I11" ca="1">IF(YEAR(INDIRECT("'"&amp;E11&amp;"'!"&amp;"D10"))&lt;2021=TRUE,SUM(INDIRECT("'"&amp;E11&amp;"'!"&amp;"F"&amp;MATCH(DATE(2021,1,DAY(INDIRECT("'"&amp;E11&amp;"'!"&amp;"D10"))),INDIRECT("'"&amp;E11&amp;"'!"&amp;"C:C"))):INDIRECT("'"&amp;E11&amp;"'!"&amp;"F"&amp;MATCH(DATE(2021,12,DAY(INDIRECT("'"&amp;E11&amp;"'!"&amp;"D10"))),INDIRECT("'"&amp;E11&amp;"'!"&amp;"C:C")))),SUM(INDIRECT("'"&amp;E11&amp;"'!"&amp;"F"&amp;MATCH(DATE(2021,MAX(1,MONTH(INDIRECT("'"&amp;E11&amp;"'!"&amp;"D10"))),DAY(INDIRECT("'"&amp;E11&amp;"'!"&amp;"D10"))),INDIRECT("'"&amp;E11&amp;"'!"&amp;"C:C"))):INDIRECT("'"&amp;E11&amp;"'!"&amp;"F"&amp;MATCH(DATE(2021,12,DAY(INDIRECT("'"&amp;E11&amp;"'!"&amp;"D10"))),INDIRECT("'"&amp;E11&amp;"'!"&amp;"C:C")))))</f>
        <v>-169733.76000000001</v>
      </c>
      <c r="J11" s="5" cm="1">
        <f t="array" aca="1" ref="J11" ca="1">IF(YEAR(INDIRECT("'"&amp;E11&amp;"'!"&amp;"D10"))&lt;2021=TRUE,SUM(INDIRECT("'"&amp;E11&amp;"'!"&amp;"G"&amp;MATCH(DATE(2021,1,DAY(INDIRECT("'"&amp;E11&amp;"'!"&amp;"D10"))),INDIRECT("'"&amp;E11&amp;"'!"&amp;"C:C"))):INDIRECT("'"&amp;E11&amp;"'!"&amp;"G"&amp;MATCH(DATE(2021,12,DAY(INDIRECT("'"&amp;E11&amp;"'!"&amp;"D10"))),INDIRECT("'"&amp;E11&amp;"'!"&amp;"C:C")))),SUM(INDIRECT("'"&amp;E11&amp;"'!"&amp;"G"&amp;MATCH(DATE(2021,MAX(1,MONTH(INDIRECT("'"&amp;E11&amp;"'!"&amp;"D10"))),DAY(INDIRECT("'"&amp;E11&amp;"'!"&amp;"D10"))),INDIRECT("'"&amp;E11&amp;"'!"&amp;"C:C"))):INDIRECT("'"&amp;E11&amp;"'!"&amp;"G"&amp;MATCH(DATE(2021,12,DAY(INDIRECT("'"&amp;E11&amp;"'!"&amp;"D10"))),INDIRECT("'"&amp;E11&amp;"'!"&amp;"C:C")))))</f>
        <v>7369.0853534723565</v>
      </c>
      <c r="K11" s="134" cm="1">
        <f t="array" aca="1" ref="K11" ca="1">IF(YEAR(INDIRECT("'"&amp;E11&amp;"'!"&amp;"D10"))&lt;2021=TRUE,SUM(INDIRECT("'"&amp;E11&amp;"'!"&amp;"L"&amp;MATCH(DATE(2021,1,DAY(INDIRECT("'"&amp;E11&amp;"'!"&amp;"D10"))),INDIRECT("'"&amp;E11&amp;"'!"&amp;"C:C"))):INDIRECT("'"&amp;E11&amp;"'!"&amp;"L"&amp;MATCH(DATE(2021,12,DAY(INDIRECT("'"&amp;E11&amp;"'!"&amp;"D10"))),INDIRECT("'"&amp;E11&amp;"'!"&amp;"C:C")))),SUM(INDIRECT("'"&amp;E11&amp;"'!"&amp;"L"&amp;MATCH(DATE(2021,MAX(1,MONTH(INDIRECT("'"&amp;E11&amp;"'!"&amp;"D10"))),DAY(INDIRECT("'"&amp;E11&amp;"'!"&amp;"D10"))),INDIRECT("'"&amp;E11&amp;"'!"&amp;"C:C"))):INDIRECT("'"&amp;E11&amp;"'!"&amp;"L"&amp;MATCH(DATE(2021,12,DAY(INDIRECT("'"&amp;E11&amp;"'!"&amp;"D10"))),INDIRECT("'"&amp;E11&amp;"'!"&amp;"C:C")))))</f>
        <v>-161500.09961162004</v>
      </c>
    </row>
    <row r="12" spans="1:11" x14ac:dyDescent="0.45">
      <c r="E12" s="138" t="s">
        <v>24</v>
      </c>
      <c r="F12" s="5" cm="1">
        <f t="array" aca="1" ref="F12" ca="1">IF(YEAR(INDIRECT("'"&amp;E12&amp;"'!"&amp;"D10"))&lt;2021=TRUE,INDEX(INDIRECT("'"&amp;E12&amp;"'!"&amp;"K:K"),MATCH(DATE(2021,1,DAY(INDIRECT("'"&amp;E12&amp;"'!"&amp;"D10"))),INDIRECT("'"&amp;E12&amp;"'!"&amp;"C:C"))),INDEX(INDIRECT("'"&amp;E12&amp;"'!"&amp;"K:K"),MATCH(DATE(2021,MAX(1,MONTH(INDIRECT("'"&amp;E12&amp;"'!"&amp;"D10"))),DAY(INDIRECT("'"&amp;E12&amp;"'!"&amp;"D10"))),INDIRECT("'"&amp;E12&amp;"'!"&amp;"C:C"))))</f>
        <v>157566.86528174649</v>
      </c>
      <c r="G12" s="5" cm="1">
        <f t="array" aca="1" ref="G12" ca="1">IF(YEAR(INDIRECT("'"&amp;E12&amp;"'!"&amp;"D10"))&lt;2021=TRUE,INDEX(INDIRECT("'"&amp;E12&amp;"'!"&amp;"E:E"),MATCH(DATE(2021,1,DAY(INDIRECT("'"&amp;E12&amp;"'!"&amp;"D10"))),INDIRECT("'"&amp;E12&amp;"'!"&amp;"C:C"))),INDEX(INDIRECT("'"&amp;E12&amp;"'!"&amp;"E:E"),MATCH(DATE(2021,MAX(1,MONTH(INDIRECT("'"&amp;E12&amp;"'!"&amp;"D10"))),DAY(INDIRECT("'"&amp;E12&amp;"'!"&amp;"D10"))),INDIRECT("'"&amp;E12&amp;"'!"&amp;"C:C"))))</f>
        <v>160488.35739419481</v>
      </c>
      <c r="H12" s="5" cm="1">
        <f t="array" aca="1" ref="H12" ca="1">IF(YEAR(INDIRECT("'"&amp;E12&amp;"'!"&amp;"D10"))&lt;2021=TRUE,SUM(INDIRECT("'"&amp;E12&amp;"'!"&amp;"F"&amp;MATCH(DATE(2021,1,DAY(INDIRECT("'"&amp;E12&amp;"'!"&amp;"D10"))),INDIRECT("'"&amp;E12&amp;"'!"&amp;"C:C"))):INDIRECT("'"&amp;E12&amp;"'!"&amp;"G"&amp;MATCH(DATE(2021,12,DAY(INDIRECT("'"&amp;E12&amp;"'!"&amp;"D10"))),INDIRECT("'"&amp;E12&amp;"'!"&amp;"C:C")))),SUM(INDIRECT("'"&amp;E12&amp;"'!"&amp;"F"&amp;MATCH(DATE(2021,MAX(1,MONTH(INDIRECT("'"&amp;E12&amp;"'!"&amp;"D10"))),DAY(INDIRECT("'"&amp;E12&amp;"'!"&amp;"D10"))),INDIRECT("'"&amp;E12&amp;"'!"&amp;"C:C"))):INDIRECT("'"&amp;E12&amp;"'!"&amp;"G"&amp;MATCH(DATE(2021,12,DAY(INDIRECT("'"&amp;E12&amp;"'!"&amp;"D10"))),INDIRECT("'"&amp;E12&amp;"'!"&amp;"C:C")))))</f>
        <v>-82412.298705147216</v>
      </c>
      <c r="I12" s="5" cm="1">
        <f t="array" aca="1" ref="I12" ca="1">IF(YEAR(INDIRECT("'"&amp;E12&amp;"'!"&amp;"D10"))&lt;2021=TRUE,SUM(INDIRECT("'"&amp;E12&amp;"'!"&amp;"F"&amp;MATCH(DATE(2021,1,DAY(INDIRECT("'"&amp;E12&amp;"'!"&amp;"D10"))),INDIRECT("'"&amp;E12&amp;"'!"&amp;"C:C"))):INDIRECT("'"&amp;E12&amp;"'!"&amp;"F"&amp;MATCH(DATE(2021,12,DAY(INDIRECT("'"&amp;E12&amp;"'!"&amp;"D10"))),INDIRECT("'"&amp;E12&amp;"'!"&amp;"C:C")))),SUM(INDIRECT("'"&amp;E12&amp;"'!"&amp;"F"&amp;MATCH(DATE(2021,MAX(1,MONTH(INDIRECT("'"&amp;E12&amp;"'!"&amp;"D10"))),DAY(INDIRECT("'"&amp;E12&amp;"'!"&amp;"D10"))),INDIRECT("'"&amp;E12&amp;"'!"&amp;"C:C"))):INDIRECT("'"&amp;E12&amp;"'!"&amp;"F"&amp;MATCH(DATE(2021,12,DAY(INDIRECT("'"&amp;E12&amp;"'!"&amp;"D10"))),INDIRECT("'"&amp;E12&amp;"'!"&amp;"C:C")))))</f>
        <v>-86400</v>
      </c>
      <c r="J12" s="5" cm="1">
        <f t="array" aca="1" ref="J12" ca="1">IF(YEAR(INDIRECT("'"&amp;E12&amp;"'!"&amp;"D10"))&lt;2021=TRUE,SUM(INDIRECT("'"&amp;E12&amp;"'!"&amp;"G"&amp;MATCH(DATE(2021,1,DAY(INDIRECT("'"&amp;E12&amp;"'!"&amp;"D10"))),INDIRECT("'"&amp;E12&amp;"'!"&amp;"C:C"))):INDIRECT("'"&amp;E12&amp;"'!"&amp;"G"&amp;MATCH(DATE(2021,12,DAY(INDIRECT("'"&amp;E12&amp;"'!"&amp;"D10"))),INDIRECT("'"&amp;E12&amp;"'!"&amp;"C:C")))),SUM(INDIRECT("'"&amp;E12&amp;"'!"&amp;"G"&amp;MATCH(DATE(2021,MAX(1,MONTH(INDIRECT("'"&amp;E12&amp;"'!"&amp;"D10"))),DAY(INDIRECT("'"&amp;E12&amp;"'!"&amp;"D10"))),INDIRECT("'"&amp;E12&amp;"'!"&amp;"C:C"))):INDIRECT("'"&amp;E12&amp;"'!"&amp;"G"&amp;MATCH(DATE(2021,12,DAY(INDIRECT("'"&amp;E12&amp;"'!"&amp;"D10"))),INDIRECT("'"&amp;E12&amp;"'!"&amp;"C:C")))))</f>
        <v>3987.701294852789</v>
      </c>
      <c r="K12" s="134" cm="1">
        <f t="array" aca="1" ref="K12" ca="1">IF(YEAR(INDIRECT("'"&amp;E12&amp;"'!"&amp;"D10"))&lt;2021=TRUE,SUM(INDIRECT("'"&amp;E12&amp;"'!"&amp;"L"&amp;MATCH(DATE(2021,1,DAY(INDIRECT("'"&amp;E12&amp;"'!"&amp;"D10"))),INDIRECT("'"&amp;E12&amp;"'!"&amp;"C:C"))):INDIRECT("'"&amp;E12&amp;"'!"&amp;"L"&amp;MATCH(DATE(2021,12,DAY(INDIRECT("'"&amp;E12&amp;"'!"&amp;"D10"))),INDIRECT("'"&amp;E12&amp;"'!"&amp;"C:C")))),SUM(INDIRECT("'"&amp;E12&amp;"'!"&amp;"L"&amp;MATCH(DATE(2021,MAX(1,MONTH(INDIRECT("'"&amp;E12&amp;"'!"&amp;"D10"))),DAY(INDIRECT("'"&amp;E12&amp;"'!"&amp;"D10"))),INDIRECT("'"&amp;E12&amp;"'!"&amp;"C:C"))):INDIRECT("'"&amp;E12&amp;"'!"&amp;"L"&amp;MATCH(DATE(2021,12,DAY(INDIRECT("'"&amp;E12&amp;"'!"&amp;"D10"))),INDIRECT("'"&amp;E12&amp;"'!"&amp;"C:C")))))</f>
        <v>-82208.799277432903</v>
      </c>
    </row>
    <row r="13" spans="1:11" x14ac:dyDescent="0.45">
      <c r="A13" s="127" t="s">
        <v>25</v>
      </c>
      <c r="E13" s="138" t="s">
        <v>26</v>
      </c>
      <c r="F13" s="5" cm="1">
        <f t="array" aca="1" ref="F13" ca="1">IF(YEAR(INDIRECT("'"&amp;E13&amp;"'!"&amp;"D10"))&lt;2021=TRUE,INDEX(INDIRECT("'"&amp;E13&amp;"'!"&amp;"K:K"),MATCH(DATE(2021,1,DAY(INDIRECT("'"&amp;E13&amp;"'!"&amp;"D10"))),INDIRECT("'"&amp;E13&amp;"'!"&amp;"C:C"))),INDEX(INDIRECT("'"&amp;E13&amp;"'!"&amp;"K:K"),MATCH(DATE(2021,MAX(1,MONTH(INDIRECT("'"&amp;E13&amp;"'!"&amp;"D10"))),DAY(INDIRECT("'"&amp;E13&amp;"'!"&amp;"D10"))),INDIRECT("'"&amp;E13&amp;"'!"&amp;"C:C"))))</f>
        <v>145023.17265866473</v>
      </c>
      <c r="G13" s="5" cm="1">
        <f t="array" aca="1" ref="G13" ca="1">IF(YEAR(INDIRECT("'"&amp;E13&amp;"'!"&amp;"D10"))&lt;2021=TRUE,INDEX(INDIRECT("'"&amp;E13&amp;"'!"&amp;"E:E"),MATCH(DATE(2021,1,DAY(INDIRECT("'"&amp;E13&amp;"'!"&amp;"D10"))),INDIRECT("'"&amp;E13&amp;"'!"&amp;"C:C"))),INDEX(INDIRECT("'"&amp;E13&amp;"'!"&amp;"E:E"),MATCH(DATE(2021,MAX(1,MONTH(INDIRECT("'"&amp;E13&amp;"'!"&amp;"D10"))),DAY(INDIRECT("'"&amp;E13&amp;"'!"&amp;"D10"))),INDIRECT("'"&amp;E13&amp;"'!"&amp;"C:C"))))</f>
        <v>147502.88461057772</v>
      </c>
      <c r="H13" s="5" cm="1">
        <f t="array" aca="1" ref="H13" ca="1">IF(YEAR(INDIRECT("'"&amp;E13&amp;"'!"&amp;"D10"))&lt;2021=TRUE,SUM(INDIRECT("'"&amp;E13&amp;"'!"&amp;"F"&amp;MATCH(DATE(2021,1,DAY(INDIRECT("'"&amp;E13&amp;"'!"&amp;"D10"))),INDIRECT("'"&amp;E13&amp;"'!"&amp;"C:C"))):INDIRECT("'"&amp;E13&amp;"'!"&amp;"G"&amp;MATCH(DATE(2021,12,DAY(INDIRECT("'"&amp;E13&amp;"'!"&amp;"D10"))),INDIRECT("'"&amp;E13&amp;"'!"&amp;"C:C")))),SUM(INDIRECT("'"&amp;E13&amp;"'!"&amp;"F"&amp;MATCH(DATE(2021,MAX(1,MONTH(INDIRECT("'"&amp;E13&amp;"'!"&amp;"D10"))),DAY(INDIRECT("'"&amp;E13&amp;"'!"&amp;"D10"))),INDIRECT("'"&amp;E13&amp;"'!"&amp;"C:C"))):INDIRECT("'"&amp;E13&amp;"'!"&amp;"G"&amp;MATCH(DATE(2021,12,DAY(INDIRECT("'"&amp;E13&amp;"'!"&amp;"D10"))),INDIRECT("'"&amp;E13&amp;"'!"&amp;"C:C")))))</f>
        <v>-72482.989980628976</v>
      </c>
      <c r="I13" s="5" cm="1">
        <f t="array" aca="1" ref="I13" ca="1">IF(YEAR(INDIRECT("'"&amp;E13&amp;"'!"&amp;"D10"))&lt;2021=TRUE,SUM(INDIRECT("'"&amp;E13&amp;"'!"&amp;"F"&amp;MATCH(DATE(2021,1,DAY(INDIRECT("'"&amp;E13&amp;"'!"&amp;"D10"))),INDIRECT("'"&amp;E13&amp;"'!"&amp;"C:C"))):INDIRECT("'"&amp;E13&amp;"'!"&amp;"F"&amp;MATCH(DATE(2021,12,DAY(INDIRECT("'"&amp;E13&amp;"'!"&amp;"D10"))),INDIRECT("'"&amp;E13&amp;"'!"&amp;"C:C")))),SUM(INDIRECT("'"&amp;E13&amp;"'!"&amp;"F"&amp;MATCH(DATE(2021,MAX(1,MONTH(INDIRECT("'"&amp;E13&amp;"'!"&amp;"D10"))),DAY(INDIRECT("'"&amp;E13&amp;"'!"&amp;"D10"))),INDIRECT("'"&amp;E13&amp;"'!"&amp;"C:C"))):INDIRECT("'"&amp;E13&amp;"'!"&amp;"F"&amp;MATCH(DATE(2021,12,DAY(INDIRECT("'"&amp;E13&amp;"'!"&amp;"D10"))),INDIRECT("'"&amp;E13&amp;"'!"&amp;"C:C")))))</f>
        <v>-76208.39999999998</v>
      </c>
      <c r="J13" s="5" cm="1">
        <f t="array" aca="1" ref="J13" ca="1">IF(YEAR(INDIRECT("'"&amp;E13&amp;"'!"&amp;"D10"))&lt;2021=TRUE,SUM(INDIRECT("'"&amp;E13&amp;"'!"&amp;"G"&amp;MATCH(DATE(2021,1,DAY(INDIRECT("'"&amp;E13&amp;"'!"&amp;"D10"))),INDIRECT("'"&amp;E13&amp;"'!"&amp;"C:C"))):INDIRECT("'"&amp;E13&amp;"'!"&amp;"G"&amp;MATCH(DATE(2021,12,DAY(INDIRECT("'"&amp;E13&amp;"'!"&amp;"D10"))),INDIRECT("'"&amp;E13&amp;"'!"&amp;"C:C")))),SUM(INDIRECT("'"&amp;E13&amp;"'!"&amp;"G"&amp;MATCH(DATE(2021,MAX(1,MONTH(INDIRECT("'"&amp;E13&amp;"'!"&amp;"D10"))),DAY(INDIRECT("'"&amp;E13&amp;"'!"&amp;"D10"))),INDIRECT("'"&amp;E13&amp;"'!"&amp;"C:C"))):INDIRECT("'"&amp;E13&amp;"'!"&amp;"G"&amp;MATCH(DATE(2021,12,DAY(INDIRECT("'"&amp;E13&amp;"'!"&amp;"D10"))),INDIRECT("'"&amp;E13&amp;"'!"&amp;"C:C")))))</f>
        <v>3725.410019371006</v>
      </c>
      <c r="K13" s="134" cm="1">
        <f t="array" aca="1" ref="K13" ca="1">IF(YEAR(INDIRECT("'"&amp;E13&amp;"'!"&amp;"D10"))&lt;2021=TRUE,SUM(INDIRECT("'"&amp;E13&amp;"'!"&amp;"L"&amp;MATCH(DATE(2021,1,DAY(INDIRECT("'"&amp;E13&amp;"'!"&amp;"D10"))),INDIRECT("'"&amp;E13&amp;"'!"&amp;"C:C"))):INDIRECT("'"&amp;E13&amp;"'!"&amp;"L"&amp;MATCH(DATE(2021,12,DAY(INDIRECT("'"&amp;E13&amp;"'!"&amp;"D10"))),INDIRECT("'"&amp;E13&amp;"'!"&amp;"C:C")))),SUM(INDIRECT("'"&amp;E13&amp;"'!"&amp;"L"&amp;MATCH(DATE(2021,MAX(1,MONTH(INDIRECT("'"&amp;E13&amp;"'!"&amp;"D10"))),DAY(INDIRECT("'"&amp;E13&amp;"'!"&amp;"D10"))),INDIRECT("'"&amp;E13&amp;"'!"&amp;"C:C"))):INDIRECT("'"&amp;E13&amp;"'!"&amp;"L"&amp;MATCH(DATE(2021,12,DAY(INDIRECT("'"&amp;E13&amp;"'!"&amp;"D10"))),INDIRECT("'"&amp;E13&amp;"'!"&amp;"C:C")))))</f>
        <v>-72511.586329332407</v>
      </c>
    </row>
    <row r="14" spans="1:11" x14ac:dyDescent="0.45">
      <c r="B14" t="s">
        <v>10</v>
      </c>
      <c r="C14" s="3">
        <f ca="1">SUM(K:K)</f>
        <v>-4527210.9303068472</v>
      </c>
      <c r="E14" s="138" t="s">
        <v>27</v>
      </c>
      <c r="F14" s="5" cm="1">
        <f t="array" aca="1" ref="F14" ca="1">IF(YEAR(INDIRECT("'"&amp;E14&amp;"'!"&amp;"D10"))&lt;2021=TRUE,INDEX(INDIRECT("'"&amp;E14&amp;"'!"&amp;"K:K"),MATCH(DATE(2021,1,DAY(INDIRECT("'"&amp;E14&amp;"'!"&amp;"D10"))),INDIRECT("'"&amp;E14&amp;"'!"&amp;"C:C"))),INDEX(INDIRECT("'"&amp;E14&amp;"'!"&amp;"K:K"),MATCH(DATE(2021,MAX(1,MONTH(INDIRECT("'"&amp;E14&amp;"'!"&amp;"D10"))),DAY(INDIRECT("'"&amp;E14&amp;"'!"&amp;"D10"))),INDIRECT("'"&amp;E14&amp;"'!"&amp;"C:C"))))</f>
        <v>150970.56229529972</v>
      </c>
      <c r="G14" s="5" cm="1">
        <f t="array" aca="1" ref="G14" ca="1">IF(YEAR(INDIRECT("'"&amp;E14&amp;"'!"&amp;"D10"))&lt;2021=TRUE,INDEX(INDIRECT("'"&amp;E14&amp;"'!"&amp;"E:E"),MATCH(DATE(2021,1,DAY(INDIRECT("'"&amp;E14&amp;"'!"&amp;"D10"))),INDIRECT("'"&amp;E14&amp;"'!"&amp;"C:C"))),INDEX(INDIRECT("'"&amp;E14&amp;"'!"&amp;"E:E"),MATCH(DATE(2021,MAX(1,MONTH(INDIRECT("'"&amp;E14&amp;"'!"&amp;"D10"))),DAY(INDIRECT("'"&amp;E14&amp;"'!"&amp;"D10"))),INDIRECT("'"&amp;E14&amp;"'!"&amp;"C:C"))))</f>
        <v>150970.56229529972</v>
      </c>
      <c r="H14" s="5" cm="1">
        <f t="array" aca="1" ref="H14" ca="1">IF(YEAR(INDIRECT("'"&amp;E14&amp;"'!"&amp;"D10"))&lt;2021=TRUE,SUM(INDIRECT("'"&amp;E14&amp;"'!"&amp;"F"&amp;MATCH(DATE(2021,1,DAY(INDIRECT("'"&amp;E14&amp;"'!"&amp;"D10"))),INDIRECT("'"&amp;E14&amp;"'!"&amp;"C:C"))):INDIRECT("'"&amp;E14&amp;"'!"&amp;"G"&amp;MATCH(DATE(2021,12,DAY(INDIRECT("'"&amp;E14&amp;"'!"&amp;"D10"))),INDIRECT("'"&amp;E14&amp;"'!"&amp;"C:C")))),SUM(INDIRECT("'"&amp;E14&amp;"'!"&amp;"F"&amp;MATCH(DATE(2021,MAX(1,MONTH(INDIRECT("'"&amp;E14&amp;"'!"&amp;"D10"))),DAY(INDIRECT("'"&amp;E14&amp;"'!"&amp;"D10"))),INDIRECT("'"&amp;E14&amp;"'!"&amp;"C:C"))):INDIRECT("'"&amp;E14&amp;"'!"&amp;"G"&amp;MATCH(DATE(2021,12,DAY(INDIRECT("'"&amp;E14&amp;"'!"&amp;"D10"))),INDIRECT("'"&amp;E14&amp;"'!"&amp;"C:C")))))</f>
        <v>-74187.008498919546</v>
      </c>
      <c r="I14" s="5" cm="1">
        <f t="array" aca="1" ref="I14" ca="1">IF(YEAR(INDIRECT("'"&amp;E14&amp;"'!"&amp;"D10"))&lt;2021=TRUE,SUM(INDIRECT("'"&amp;E14&amp;"'!"&amp;"F"&amp;MATCH(DATE(2021,1,DAY(INDIRECT("'"&amp;E14&amp;"'!"&amp;"D10"))),INDIRECT("'"&amp;E14&amp;"'!"&amp;"C:C"))):INDIRECT("'"&amp;E14&amp;"'!"&amp;"F"&amp;MATCH(DATE(2021,12,DAY(INDIRECT("'"&amp;E14&amp;"'!"&amp;"D10"))),INDIRECT("'"&amp;E14&amp;"'!"&amp;"C:C")))),SUM(INDIRECT("'"&amp;E14&amp;"'!"&amp;"F"&amp;MATCH(DATE(2021,MAX(1,MONTH(INDIRECT("'"&amp;E14&amp;"'!"&amp;"D10"))),DAY(INDIRECT("'"&amp;E14&amp;"'!"&amp;"D10"))),INDIRECT("'"&amp;E14&amp;"'!"&amp;"C:C"))):INDIRECT("'"&amp;E14&amp;"'!"&amp;"F"&amp;MATCH(DATE(2021,12,DAY(INDIRECT("'"&amp;E14&amp;"'!"&amp;"D10"))),INDIRECT("'"&amp;E14&amp;"'!"&amp;"C:C")))))</f>
        <v>-78000</v>
      </c>
      <c r="J14" s="5" cm="1">
        <f t="array" aca="1" ref="J14" ca="1">IF(YEAR(INDIRECT("'"&amp;E14&amp;"'!"&amp;"D10"))&lt;2021=TRUE,SUM(INDIRECT("'"&amp;E14&amp;"'!"&amp;"G"&amp;MATCH(DATE(2021,1,DAY(INDIRECT("'"&amp;E14&amp;"'!"&amp;"D10"))),INDIRECT("'"&amp;E14&amp;"'!"&amp;"C:C"))):INDIRECT("'"&amp;E14&amp;"'!"&amp;"G"&amp;MATCH(DATE(2021,12,DAY(INDIRECT("'"&amp;E14&amp;"'!"&amp;"D10"))),INDIRECT("'"&amp;E14&amp;"'!"&amp;"C:C")))),SUM(INDIRECT("'"&amp;E14&amp;"'!"&amp;"G"&amp;MATCH(DATE(2021,MAX(1,MONTH(INDIRECT("'"&amp;E14&amp;"'!"&amp;"D10"))),DAY(INDIRECT("'"&amp;E14&amp;"'!"&amp;"D10"))),INDIRECT("'"&amp;E14&amp;"'!"&amp;"C:C"))):INDIRECT("'"&amp;E14&amp;"'!"&amp;"G"&amp;MATCH(DATE(2021,12,DAY(INDIRECT("'"&amp;E14&amp;"'!"&amp;"D10"))),INDIRECT("'"&amp;E14&amp;"'!"&amp;"C:C")))))</f>
        <v>3812.9915010804643</v>
      </c>
      <c r="K14" s="134" cm="1">
        <f t="array" aca="1" ref="K14" ca="1">IF(YEAR(INDIRECT("'"&amp;E14&amp;"'!"&amp;"D10"))&lt;2021=TRUE,SUM(INDIRECT("'"&amp;E14&amp;"'!"&amp;"L"&amp;MATCH(DATE(2021,1,DAY(INDIRECT("'"&amp;E14&amp;"'!"&amp;"D10"))),INDIRECT("'"&amp;E14&amp;"'!"&amp;"C:C"))):INDIRECT("'"&amp;E14&amp;"'!"&amp;"L"&amp;MATCH(DATE(2021,12,DAY(INDIRECT("'"&amp;E14&amp;"'!"&amp;"D10"))),INDIRECT("'"&amp;E14&amp;"'!"&amp;"C:C")))),SUM(INDIRECT("'"&amp;E14&amp;"'!"&amp;"L"&amp;MATCH(DATE(2021,MAX(1,MONTH(INDIRECT("'"&amp;E14&amp;"'!"&amp;"D10"))),DAY(INDIRECT("'"&amp;E14&amp;"'!"&amp;"D10"))),INDIRECT("'"&amp;E14&amp;"'!"&amp;"C:C"))):INDIRECT("'"&amp;E14&amp;"'!"&amp;"L"&amp;MATCH(DATE(2021,12,DAY(INDIRECT("'"&amp;E14&amp;"'!"&amp;"D10"))),INDIRECT("'"&amp;E14&amp;"'!"&amp;"C:C")))))</f>
        <v>-75485.281147649861</v>
      </c>
    </row>
    <row r="15" spans="1:11" x14ac:dyDescent="0.45">
      <c r="B15" t="s">
        <v>28</v>
      </c>
      <c r="C15" s="3">
        <f ca="1">-SUM(K:K)</f>
        <v>4527210.9303068472</v>
      </c>
      <c r="E15" s="138" t="s">
        <v>29</v>
      </c>
      <c r="F15" s="5" cm="1">
        <f t="array" aca="1" ref="F15" ca="1">IF(YEAR(INDIRECT("'"&amp;E15&amp;"'!"&amp;"D10"))&lt;2021=TRUE,INDEX(INDIRECT("'"&amp;E15&amp;"'!"&amp;"K:K"),MATCH(DATE(2021,1,DAY(INDIRECT("'"&amp;E15&amp;"'!"&amp;"D10"))),INDIRECT("'"&amp;E15&amp;"'!"&amp;"C:C"))),INDEX(INDIRECT("'"&amp;E15&amp;"'!"&amp;"K:K"),MATCH(DATE(2021,MAX(1,MONTH(INDIRECT("'"&amp;E15&amp;"'!"&amp;"D10"))),DAY(INDIRECT("'"&amp;E15&amp;"'!"&amp;"D10"))),INDIRECT("'"&amp;E15&amp;"'!"&amp;"C:C"))))</f>
        <v>459635.47610657604</v>
      </c>
      <c r="G15" s="5" cm="1">
        <f t="array" aca="1" ref="G15" ca="1">IF(YEAR(INDIRECT("'"&amp;E15&amp;"'!"&amp;"D10"))&lt;2021=TRUE,INDEX(INDIRECT("'"&amp;E15&amp;"'!"&amp;"E:E"),MATCH(DATE(2021,1,DAY(INDIRECT("'"&amp;E15&amp;"'!"&amp;"D10"))),INDIRECT("'"&amp;E15&amp;"'!"&amp;"C:C"))),INDEX(INDIRECT("'"&amp;E15&amp;"'!"&amp;"E:E"),MATCH(DATE(2021,MAX(1,MONTH(INDIRECT("'"&amp;E15&amp;"'!"&amp;"D10"))),DAY(INDIRECT("'"&amp;E15&amp;"'!"&amp;"D10"))),INDIRECT("'"&amp;E15&amp;"'!"&amp;"C:C"))))</f>
        <v>468071.9116010018</v>
      </c>
      <c r="H15" s="5" cm="1">
        <f t="array" aca="1" ref="H15" ca="1">IF(YEAR(INDIRECT("'"&amp;E15&amp;"'!"&amp;"D10"))&lt;2021=TRUE,SUM(INDIRECT("'"&amp;E15&amp;"'!"&amp;"F"&amp;MATCH(DATE(2021,1,DAY(INDIRECT("'"&amp;E15&amp;"'!"&amp;"D10"))),INDIRECT("'"&amp;E15&amp;"'!"&amp;"C:C"))):INDIRECT("'"&amp;E15&amp;"'!"&amp;"G"&amp;MATCH(DATE(2021,12,DAY(INDIRECT("'"&amp;E15&amp;"'!"&amp;"D10"))),INDIRECT("'"&amp;E15&amp;"'!"&amp;"C:C")))),SUM(INDIRECT("'"&amp;E15&amp;"'!"&amp;"F"&amp;MATCH(DATE(2021,MAX(1,MONTH(INDIRECT("'"&amp;E15&amp;"'!"&amp;"D10"))),DAY(INDIRECT("'"&amp;E15&amp;"'!"&amp;"D10"))),INDIRECT("'"&amp;E15&amp;"'!"&amp;"C:C"))):INDIRECT("'"&amp;E15&amp;"'!"&amp;"G"&amp;MATCH(DATE(2021,12,DAY(INDIRECT("'"&amp;E15&amp;"'!"&amp;"D10"))),INDIRECT("'"&amp;E15&amp;"'!"&amp;"C:C")))))</f>
        <v>-219763.35481100288</v>
      </c>
      <c r="I15" s="5" cm="1">
        <f t="array" aca="1" ref="I15" ca="1">IF(YEAR(INDIRECT("'"&amp;E15&amp;"'!"&amp;"D10"))&lt;2021=TRUE,SUM(INDIRECT("'"&amp;E15&amp;"'!"&amp;"F"&amp;MATCH(DATE(2021,1,DAY(INDIRECT("'"&amp;E15&amp;"'!"&amp;"D10"))),INDIRECT("'"&amp;E15&amp;"'!"&amp;"C:C"))):INDIRECT("'"&amp;E15&amp;"'!"&amp;"F"&amp;MATCH(DATE(2021,12,DAY(INDIRECT("'"&amp;E15&amp;"'!"&amp;"D10"))),INDIRECT("'"&amp;E15&amp;"'!"&amp;"C:C")))),SUM(INDIRECT("'"&amp;E15&amp;"'!"&amp;"F"&amp;MATCH(DATE(2021,MAX(1,MONTH(INDIRECT("'"&amp;E15&amp;"'!"&amp;"D10"))),DAY(INDIRECT("'"&amp;E15&amp;"'!"&amp;"D10"))),INDIRECT("'"&amp;E15&amp;"'!"&amp;"C:C"))):INDIRECT("'"&amp;E15&amp;"'!"&amp;"F"&amp;MATCH(DATE(2021,12,DAY(INDIRECT("'"&amp;E15&amp;"'!"&amp;"D10"))),INDIRECT("'"&amp;E15&amp;"'!"&amp;"C:C")))))</f>
        <v>-231720</v>
      </c>
      <c r="J15" s="5" cm="1">
        <f t="array" aca="1" ref="J15" ca="1">IF(YEAR(INDIRECT("'"&amp;E15&amp;"'!"&amp;"D10"))&lt;2021=TRUE,SUM(INDIRECT("'"&amp;E15&amp;"'!"&amp;"G"&amp;MATCH(DATE(2021,1,DAY(INDIRECT("'"&amp;E15&amp;"'!"&amp;"D10"))),INDIRECT("'"&amp;E15&amp;"'!"&amp;"C:C"))):INDIRECT("'"&amp;E15&amp;"'!"&amp;"G"&amp;MATCH(DATE(2021,12,DAY(INDIRECT("'"&amp;E15&amp;"'!"&amp;"D10"))),INDIRECT("'"&amp;E15&amp;"'!"&amp;"C:C")))),SUM(INDIRECT("'"&amp;E15&amp;"'!"&amp;"G"&amp;MATCH(DATE(2021,MAX(1,MONTH(INDIRECT("'"&amp;E15&amp;"'!"&amp;"D10"))),DAY(INDIRECT("'"&amp;E15&amp;"'!"&amp;"D10"))),INDIRECT("'"&amp;E15&amp;"'!"&amp;"C:C"))):INDIRECT("'"&amp;E15&amp;"'!"&amp;"G"&amp;MATCH(DATE(2021,12,DAY(INDIRECT("'"&amp;E15&amp;"'!"&amp;"D10"))),INDIRECT("'"&amp;E15&amp;"'!"&amp;"C:C")))))</f>
        <v>11956.645188997107</v>
      </c>
      <c r="K15" s="134" cm="1">
        <f t="array" aca="1" ref="K15" ca="1">IF(YEAR(INDIRECT("'"&amp;E15&amp;"'!"&amp;"D10"))&lt;2021=TRUE,SUM(INDIRECT("'"&amp;E15&amp;"'!"&amp;"L"&amp;MATCH(DATE(2021,1,DAY(INDIRECT("'"&amp;E15&amp;"'!"&amp;"D10"))),INDIRECT("'"&amp;E15&amp;"'!"&amp;"C:C"))):INDIRECT("'"&amp;E15&amp;"'!"&amp;"L"&amp;MATCH(DATE(2021,12,DAY(INDIRECT("'"&amp;E15&amp;"'!"&amp;"D10"))),INDIRECT("'"&amp;E15&amp;"'!"&amp;"C:C")))),SUM(INDIRECT("'"&amp;E15&amp;"'!"&amp;"L"&amp;MATCH(DATE(2021,MAX(1,MONTH(INDIRECT("'"&amp;E15&amp;"'!"&amp;"D10"))),DAY(INDIRECT("'"&amp;E15&amp;"'!"&amp;"D10"))),INDIRECT("'"&amp;E15&amp;"'!"&amp;"C:C"))):INDIRECT("'"&amp;E15&amp;"'!"&amp;"L"&amp;MATCH(DATE(2021,12,DAY(INDIRECT("'"&amp;E15&amp;"'!"&amp;"D10"))),INDIRECT("'"&amp;E15&amp;"'!"&amp;"C:C")))))</f>
        <v>-220625.02853115657</v>
      </c>
    </row>
    <row r="16" spans="1:11" x14ac:dyDescent="0.45">
      <c r="E16" s="138" t="s">
        <v>30</v>
      </c>
      <c r="F16" s="5" cm="1">
        <f t="array" aca="1" ref="F16" ca="1">IF(YEAR(INDIRECT("'"&amp;E16&amp;"'!"&amp;"D10"))&lt;2021=TRUE,INDEX(INDIRECT("'"&amp;E16&amp;"'!"&amp;"K:K"),MATCH(DATE(2021,1,DAY(INDIRECT("'"&amp;E16&amp;"'!"&amp;"D10"))),INDIRECT("'"&amp;E16&amp;"'!"&amp;"C:C"))),INDEX(INDIRECT("'"&amp;E16&amp;"'!"&amp;"K:K"),MATCH(DATE(2021,MAX(1,MONTH(INDIRECT("'"&amp;E16&amp;"'!"&amp;"D10"))),DAY(INDIRECT("'"&amp;E16&amp;"'!"&amp;"D10"))),INDIRECT("'"&amp;E16&amp;"'!"&amp;"C:C"))))</f>
        <v>699475.37579476263</v>
      </c>
      <c r="G16" s="5" cm="1">
        <f t="array" aca="1" ref="G16" ca="1">IF(YEAR(INDIRECT("'"&amp;E16&amp;"'!"&amp;"D10"))&lt;2021=TRUE,INDEX(INDIRECT("'"&amp;E16&amp;"'!"&amp;"E:E"),MATCH(DATE(2021,1,DAY(INDIRECT("'"&amp;E16&amp;"'!"&amp;"D10"))),INDIRECT("'"&amp;E16&amp;"'!"&amp;"C:C"))),INDEX(INDIRECT("'"&amp;E16&amp;"'!"&amp;"E:E"),MATCH(DATE(2021,MAX(1,MONTH(INDIRECT("'"&amp;E16&amp;"'!"&amp;"D10"))),DAY(INDIRECT("'"&amp;E16&amp;"'!"&amp;"D10"))),INDIRECT("'"&amp;E16&amp;"'!"&amp;"C:C"))))</f>
        <v>714299.22334591707</v>
      </c>
      <c r="H16" s="5" cm="1">
        <f t="array" aca="1" ref="H16" ca="1">IF(YEAR(INDIRECT("'"&amp;E16&amp;"'!"&amp;"D10"))&lt;2021=TRUE,SUM(INDIRECT("'"&amp;E16&amp;"'!"&amp;"F"&amp;MATCH(DATE(2021,1,DAY(INDIRECT("'"&amp;E16&amp;"'!"&amp;"D10"))),INDIRECT("'"&amp;E16&amp;"'!"&amp;"C:C"))):INDIRECT("'"&amp;E16&amp;"'!"&amp;"G"&amp;MATCH(DATE(2021,12,DAY(INDIRECT("'"&amp;E16&amp;"'!"&amp;"D10"))),INDIRECT("'"&amp;E16&amp;"'!"&amp;"C:C")))),SUM(INDIRECT("'"&amp;E16&amp;"'!"&amp;"F"&amp;MATCH(DATE(2021,MAX(1,MONTH(INDIRECT("'"&amp;E16&amp;"'!"&amp;"D10"))),DAY(INDIRECT("'"&amp;E16&amp;"'!"&amp;"D10"))),INDIRECT("'"&amp;E16&amp;"'!"&amp;"C:C"))):INDIRECT("'"&amp;E16&amp;"'!"&amp;"G"&amp;MATCH(DATE(2021,12,DAY(INDIRECT("'"&amp;E16&amp;"'!"&amp;"D10"))),INDIRECT("'"&amp;E16&amp;"'!"&amp;"C:C")))))</f>
        <v>-235282.71642088227</v>
      </c>
      <c r="I16" s="5" cm="1">
        <f t="array" aca="1" ref="I16" ca="1">IF(YEAR(INDIRECT("'"&amp;E16&amp;"'!"&amp;"D10"))&lt;2021=TRUE,SUM(INDIRECT("'"&amp;E16&amp;"'!"&amp;"F"&amp;MATCH(DATE(2021,1,DAY(INDIRECT("'"&amp;E16&amp;"'!"&amp;"D10"))),INDIRECT("'"&amp;E16&amp;"'!"&amp;"C:C"))):INDIRECT("'"&amp;E16&amp;"'!"&amp;"F"&amp;MATCH(DATE(2021,12,DAY(INDIRECT("'"&amp;E16&amp;"'!"&amp;"D10"))),INDIRECT("'"&amp;E16&amp;"'!"&amp;"C:C")))),SUM(INDIRECT("'"&amp;E16&amp;"'!"&amp;"F"&amp;MATCH(DATE(2021,MAX(1,MONTH(INDIRECT("'"&amp;E16&amp;"'!"&amp;"D10"))),DAY(INDIRECT("'"&amp;E16&amp;"'!"&amp;"D10"))),INDIRECT("'"&amp;E16&amp;"'!"&amp;"C:C"))):INDIRECT("'"&amp;E16&amp;"'!"&amp;"F"&amp;MATCH(DATE(2021,12,DAY(INDIRECT("'"&amp;E16&amp;"'!"&amp;"D10"))),INDIRECT("'"&amp;E16&amp;"'!"&amp;"C:C")))))</f>
        <v>-252963.12</v>
      </c>
      <c r="J16" s="5" cm="1">
        <f t="array" aca="1" ref="J16" ca="1">IF(YEAR(INDIRECT("'"&amp;E16&amp;"'!"&amp;"D10"))&lt;2021=TRUE,SUM(INDIRECT("'"&amp;E16&amp;"'!"&amp;"G"&amp;MATCH(DATE(2021,1,DAY(INDIRECT("'"&amp;E16&amp;"'!"&amp;"D10"))),INDIRECT("'"&amp;E16&amp;"'!"&amp;"C:C"))):INDIRECT("'"&amp;E16&amp;"'!"&amp;"G"&amp;MATCH(DATE(2021,12,DAY(INDIRECT("'"&amp;E16&amp;"'!"&amp;"D10"))),INDIRECT("'"&amp;E16&amp;"'!"&amp;"C:C")))),SUM(INDIRECT("'"&amp;E16&amp;"'!"&amp;"G"&amp;MATCH(DATE(2021,MAX(1,MONTH(INDIRECT("'"&amp;E16&amp;"'!"&amp;"D10"))),DAY(INDIRECT("'"&amp;E16&amp;"'!"&amp;"D10"))),INDIRECT("'"&amp;E16&amp;"'!"&amp;"C:C"))):INDIRECT("'"&amp;E16&amp;"'!"&amp;"G"&amp;MATCH(DATE(2021,12,DAY(INDIRECT("'"&amp;E16&amp;"'!"&amp;"D10"))),INDIRECT("'"&amp;E16&amp;"'!"&amp;"C:C")))))</f>
        <v>17680.403579117716</v>
      </c>
      <c r="K16" s="134" cm="1">
        <f t="array" aca="1" ref="K16" ca="1">IF(YEAR(INDIRECT("'"&amp;E16&amp;"'!"&amp;"D10"))&lt;2021=TRUE,SUM(INDIRECT("'"&amp;E16&amp;"'!"&amp;"L"&amp;MATCH(DATE(2021,1,DAY(INDIRECT("'"&amp;E16&amp;"'!"&amp;"D10"))),INDIRECT("'"&amp;E16&amp;"'!"&amp;"C:C"))):INDIRECT("'"&amp;E16&amp;"'!"&amp;"L"&amp;MATCH(DATE(2021,12,DAY(INDIRECT("'"&amp;E16&amp;"'!"&amp;"D10"))),INDIRECT("'"&amp;E16&amp;"'!"&amp;"C:C")))),SUM(INDIRECT("'"&amp;E16&amp;"'!"&amp;"L"&amp;MATCH(DATE(2021,MAX(1,MONTH(INDIRECT("'"&amp;E16&amp;"'!"&amp;"D10"))),DAY(INDIRECT("'"&amp;E16&amp;"'!"&amp;"D10"))),INDIRECT("'"&amp;E16&amp;"'!"&amp;"C:C"))):INDIRECT("'"&amp;E16&amp;"'!"&amp;"L"&amp;MATCH(DATE(2021,12,DAY(INDIRECT("'"&amp;E16&amp;"'!"&amp;"D10"))),INDIRECT("'"&amp;E16&amp;"'!"&amp;"C:C")))))</f>
        <v>-262303.26592303597</v>
      </c>
    </row>
    <row r="17" spans="5:11" x14ac:dyDescent="0.45">
      <c r="E17" s="138" t="s">
        <v>31</v>
      </c>
      <c r="F17" s="5" cm="1">
        <f t="array" aca="1" ref="F17" ca="1">IF(YEAR(INDIRECT("'"&amp;E17&amp;"'!"&amp;"D10"))&lt;2021=TRUE,INDEX(INDIRECT("'"&amp;E17&amp;"'!"&amp;"K:K"),MATCH(DATE(2021,1,DAY(INDIRECT("'"&amp;E17&amp;"'!"&amp;"D10"))),INDIRECT("'"&amp;E17&amp;"'!"&amp;"C:C"))),INDEX(INDIRECT("'"&amp;E17&amp;"'!"&amp;"K:K"),MATCH(DATE(2021,MAX(1,MONTH(INDIRECT("'"&amp;E17&amp;"'!"&amp;"D10"))),DAY(INDIRECT("'"&amp;E17&amp;"'!"&amp;"D10"))),INDIRECT("'"&amp;E17&amp;"'!"&amp;"C:C"))))</f>
        <v>1390244.3298299015</v>
      </c>
      <c r="G17" s="5" cm="1">
        <f t="array" aca="1" ref="G17" ca="1">IF(YEAR(INDIRECT("'"&amp;E17&amp;"'!"&amp;"D10"))&lt;2021=TRUE,INDEX(INDIRECT("'"&amp;E17&amp;"'!"&amp;"E:E"),MATCH(DATE(2021,1,DAY(INDIRECT("'"&amp;E17&amp;"'!"&amp;"D10"))),INDIRECT("'"&amp;E17&amp;"'!"&amp;"C:C"))),INDEX(INDIRECT("'"&amp;E17&amp;"'!"&amp;"E:E"),MATCH(DATE(2021,MAX(1,MONTH(INDIRECT("'"&amp;E17&amp;"'!"&amp;"D10"))),DAY(INDIRECT("'"&amp;E17&amp;"'!"&amp;"D10"))),INDIRECT("'"&amp;E17&amp;"'!"&amp;"C:C"))))</f>
        <v>1390244.3298299015</v>
      </c>
      <c r="H17" s="5" cm="1">
        <f t="array" aca="1" ref="H17" ca="1">IF(YEAR(INDIRECT("'"&amp;E17&amp;"'!"&amp;"D10"))&lt;2021=TRUE,SUM(INDIRECT("'"&amp;E17&amp;"'!"&amp;"F"&amp;MATCH(DATE(2021,1,DAY(INDIRECT("'"&amp;E17&amp;"'!"&amp;"D10"))),INDIRECT("'"&amp;E17&amp;"'!"&amp;"C:C"))):INDIRECT("'"&amp;E17&amp;"'!"&amp;"G"&amp;MATCH(DATE(2021,12,DAY(INDIRECT("'"&amp;E17&amp;"'!"&amp;"D10"))),INDIRECT("'"&amp;E17&amp;"'!"&amp;"C:C")))),SUM(INDIRECT("'"&amp;E17&amp;"'!"&amp;"F"&amp;MATCH(DATE(2021,MAX(1,MONTH(INDIRECT("'"&amp;E17&amp;"'!"&amp;"D10"))),DAY(INDIRECT("'"&amp;E17&amp;"'!"&amp;"D10"))),INDIRECT("'"&amp;E17&amp;"'!"&amp;"C:C"))):INDIRECT("'"&amp;E17&amp;"'!"&amp;"G"&amp;MATCH(DATE(2021,12,DAY(INDIRECT("'"&amp;E17&amp;"'!"&amp;"D10"))),INDIRECT("'"&amp;E17&amp;"'!"&amp;"C:C")))))</f>
        <v>-407591.30930266267</v>
      </c>
      <c r="I17" s="5" cm="1">
        <f t="array" aca="1" ref="I17" ca="1">IF(YEAR(INDIRECT("'"&amp;E17&amp;"'!"&amp;"D10"))&lt;2021=TRUE,SUM(INDIRECT("'"&amp;E17&amp;"'!"&amp;"F"&amp;MATCH(DATE(2021,1,DAY(INDIRECT("'"&amp;E17&amp;"'!"&amp;"D10"))),INDIRECT("'"&amp;E17&amp;"'!"&amp;"C:C"))):INDIRECT("'"&amp;E17&amp;"'!"&amp;"F"&amp;MATCH(DATE(2021,12,DAY(INDIRECT("'"&amp;E17&amp;"'!"&amp;"D10"))),INDIRECT("'"&amp;E17&amp;"'!"&amp;"C:C")))),SUM(INDIRECT("'"&amp;E17&amp;"'!"&amp;"F"&amp;MATCH(DATE(2021,MAX(1,MONTH(INDIRECT("'"&amp;E17&amp;"'!"&amp;"D10"))),DAY(INDIRECT("'"&amp;E17&amp;"'!"&amp;"D10"))),INDIRECT("'"&amp;E17&amp;"'!"&amp;"C:C"))):INDIRECT("'"&amp;E17&amp;"'!"&amp;"F"&amp;MATCH(DATE(2021,12,DAY(INDIRECT("'"&amp;E17&amp;"'!"&amp;"D10"))),INDIRECT("'"&amp;E17&amp;"'!"&amp;"C:C")))))</f>
        <v>-443539.1999999999</v>
      </c>
      <c r="J17" s="5" cm="1">
        <f t="array" aca="1" ref="J17" ca="1">IF(YEAR(INDIRECT("'"&amp;E17&amp;"'!"&amp;"D10"))&lt;2021=TRUE,SUM(INDIRECT("'"&amp;E17&amp;"'!"&amp;"G"&amp;MATCH(DATE(2021,1,DAY(INDIRECT("'"&amp;E17&amp;"'!"&amp;"D10"))),INDIRECT("'"&amp;E17&amp;"'!"&amp;"C:C"))):INDIRECT("'"&amp;E17&amp;"'!"&amp;"G"&amp;MATCH(DATE(2021,12,DAY(INDIRECT("'"&amp;E17&amp;"'!"&amp;"D10"))),INDIRECT("'"&amp;E17&amp;"'!"&amp;"C:C")))),SUM(INDIRECT("'"&amp;E17&amp;"'!"&amp;"G"&amp;MATCH(DATE(2021,MAX(1,MONTH(INDIRECT("'"&amp;E17&amp;"'!"&amp;"D10"))),DAY(INDIRECT("'"&amp;E17&amp;"'!"&amp;"D10"))),INDIRECT("'"&amp;E17&amp;"'!"&amp;"C:C"))):INDIRECT("'"&amp;E17&amp;"'!"&amp;"G"&amp;MATCH(DATE(2021,12,DAY(INDIRECT("'"&amp;E17&amp;"'!"&amp;"D10"))),INDIRECT("'"&amp;E17&amp;"'!"&amp;"C:C")))))</f>
        <v>35947.890697337214</v>
      </c>
      <c r="K17" s="134" cm="1">
        <f t="array" aca="1" ref="K17" ca="1">IF(YEAR(INDIRECT("'"&amp;E17&amp;"'!"&amp;"D10"))&lt;2021=TRUE,SUM(INDIRECT("'"&amp;E17&amp;"'!"&amp;"L"&amp;MATCH(DATE(2021,1,DAY(INDIRECT("'"&amp;E17&amp;"'!"&amp;"D10"))),INDIRECT("'"&amp;E17&amp;"'!"&amp;"C:C"))):INDIRECT("'"&amp;E17&amp;"'!"&amp;"L"&amp;MATCH(DATE(2021,12,DAY(INDIRECT("'"&amp;E17&amp;"'!"&amp;"D10"))),INDIRECT("'"&amp;E17&amp;"'!"&amp;"C:C")))),SUM(INDIRECT("'"&amp;E17&amp;"'!"&amp;"L"&amp;MATCH(DATE(2021,MAX(1,MONTH(INDIRECT("'"&amp;E17&amp;"'!"&amp;"D10"))),DAY(INDIRECT("'"&amp;E17&amp;"'!"&amp;"D10"))),INDIRECT("'"&amp;E17&amp;"'!"&amp;"C:C"))):INDIRECT("'"&amp;E17&amp;"'!"&amp;"L"&amp;MATCH(DATE(2021,12,DAY(INDIRECT("'"&amp;E17&amp;"'!"&amp;"D10"))),INDIRECT("'"&amp;E17&amp;"'!"&amp;"C:C")))))</f>
        <v>-463414.77660996706</v>
      </c>
    </row>
    <row r="18" spans="5:11" x14ac:dyDescent="0.45">
      <c r="E18" s="138" t="s">
        <v>32</v>
      </c>
      <c r="F18" s="5" cm="1">
        <f t="array" aca="1" ref="F18" ca="1">IF(YEAR(INDIRECT("'"&amp;E18&amp;"'!"&amp;"D10"))&lt;2021=TRUE,INDEX(INDIRECT("'"&amp;E18&amp;"'!"&amp;"K:K"),MATCH(DATE(2021,1,DAY(INDIRECT("'"&amp;E18&amp;"'!"&amp;"D10"))),INDIRECT("'"&amp;E18&amp;"'!"&amp;"C:C"))),INDEX(INDIRECT("'"&amp;E18&amp;"'!"&amp;"K:K"),MATCH(DATE(2021,MAX(1,MONTH(INDIRECT("'"&amp;E18&amp;"'!"&amp;"D10"))),DAY(INDIRECT("'"&amp;E18&amp;"'!"&amp;"D10"))),INDIRECT("'"&amp;E18&amp;"'!"&amp;"C:C"))))</f>
        <v>302947.06083202781</v>
      </c>
      <c r="G18" s="5" cm="1">
        <f t="array" aca="1" ref="G18" ca="1">IF(YEAR(INDIRECT("'"&amp;E18&amp;"'!"&amp;"D10"))&lt;2021=TRUE,INDEX(INDIRECT("'"&amp;E18&amp;"'!"&amp;"E:E"),MATCH(DATE(2021,1,DAY(INDIRECT("'"&amp;E18&amp;"'!"&amp;"D10"))),INDIRECT("'"&amp;E18&amp;"'!"&amp;"C:C"))),INDEX(INDIRECT("'"&amp;E18&amp;"'!"&amp;"E:E"),MATCH(DATE(2021,MAX(1,MONTH(INDIRECT("'"&amp;E18&amp;"'!"&amp;"D10"))),DAY(INDIRECT("'"&amp;E18&amp;"'!"&amp;"D10"))),INDIRECT("'"&amp;E18&amp;"'!"&amp;"C:C"))))</f>
        <v>304187.86168133473</v>
      </c>
      <c r="H18" s="5" cm="1">
        <f t="array" aca="1" ref="H18" ca="1">IF(YEAR(INDIRECT("'"&amp;E18&amp;"'!"&amp;"D10"))&lt;2021=TRUE,SUM(INDIRECT("'"&amp;E18&amp;"'!"&amp;"F"&amp;MATCH(DATE(2021,1,DAY(INDIRECT("'"&amp;E18&amp;"'!"&amp;"D10"))),INDIRECT("'"&amp;E18&amp;"'!"&amp;"C:C"))):INDIRECT("'"&amp;E18&amp;"'!"&amp;"G"&amp;MATCH(DATE(2021,12,DAY(INDIRECT("'"&amp;E18&amp;"'!"&amp;"D10"))),INDIRECT("'"&amp;E18&amp;"'!"&amp;"C:C")))),SUM(INDIRECT("'"&amp;E18&amp;"'!"&amp;"F"&amp;MATCH(DATE(2021,MAX(1,MONTH(INDIRECT("'"&amp;E18&amp;"'!"&amp;"D10"))),DAY(INDIRECT("'"&amp;E18&amp;"'!"&amp;"D10"))),INDIRECT("'"&amp;E18&amp;"'!"&amp;"C:C"))):INDIRECT("'"&amp;E18&amp;"'!"&amp;"G"&amp;MATCH(DATE(2021,12,DAY(INDIRECT("'"&amp;E18&amp;"'!"&amp;"D10"))),INDIRECT("'"&amp;E18&amp;"'!"&amp;"C:C")))))</f>
        <v>-91897.87472922563</v>
      </c>
      <c r="I18" s="5" cm="1">
        <f t="array" aca="1" ref="I18" ca="1">IF(YEAR(INDIRECT("'"&amp;E18&amp;"'!"&amp;"D10"))&lt;2021=TRUE,SUM(INDIRECT("'"&amp;E18&amp;"'!"&amp;"F"&amp;MATCH(DATE(2021,1,DAY(INDIRECT("'"&amp;E18&amp;"'!"&amp;"D10"))),INDIRECT("'"&amp;E18&amp;"'!"&amp;"C:C"))):INDIRECT("'"&amp;E18&amp;"'!"&amp;"F"&amp;MATCH(DATE(2021,12,DAY(INDIRECT("'"&amp;E18&amp;"'!"&amp;"D10"))),INDIRECT("'"&amp;E18&amp;"'!"&amp;"C:C")))),SUM(INDIRECT("'"&amp;E18&amp;"'!"&amp;"F"&amp;MATCH(DATE(2021,MAX(1,MONTH(INDIRECT("'"&amp;E18&amp;"'!"&amp;"D10"))),DAY(INDIRECT("'"&amp;E18&amp;"'!"&amp;"D10"))),INDIRECT("'"&amp;E18&amp;"'!"&amp;"C:C"))):INDIRECT("'"&amp;E18&amp;"'!"&amp;"F"&amp;MATCH(DATE(2021,12,DAY(INDIRECT("'"&amp;E18&amp;"'!"&amp;"D10"))),INDIRECT("'"&amp;E18&amp;"'!"&amp;"C:C")))))</f>
        <v>-99695.599999999991</v>
      </c>
      <c r="J18" s="5" cm="1">
        <f t="array" aca="1" ref="J18" ca="1">IF(YEAR(INDIRECT("'"&amp;E18&amp;"'!"&amp;"D10"))&lt;2021=TRUE,SUM(INDIRECT("'"&amp;E18&amp;"'!"&amp;"G"&amp;MATCH(DATE(2021,1,DAY(INDIRECT("'"&amp;E18&amp;"'!"&amp;"D10"))),INDIRECT("'"&amp;E18&amp;"'!"&amp;"C:C"))):INDIRECT("'"&amp;E18&amp;"'!"&amp;"G"&amp;MATCH(DATE(2021,12,DAY(INDIRECT("'"&amp;E18&amp;"'!"&amp;"D10"))),INDIRECT("'"&amp;E18&amp;"'!"&amp;"C:C")))),SUM(INDIRECT("'"&amp;E18&amp;"'!"&amp;"G"&amp;MATCH(DATE(2021,MAX(1,MONTH(INDIRECT("'"&amp;E18&amp;"'!"&amp;"D10"))),DAY(INDIRECT("'"&amp;E18&amp;"'!"&amp;"D10"))),INDIRECT("'"&amp;E18&amp;"'!"&amp;"C:C"))):INDIRECT("'"&amp;E18&amp;"'!"&amp;"G"&amp;MATCH(DATE(2021,12,DAY(INDIRECT("'"&amp;E18&amp;"'!"&amp;"D10"))),INDIRECT("'"&amp;E18&amp;"'!"&amp;"C:C")))))</f>
        <v>7797.7252707743601</v>
      </c>
      <c r="K18" s="134" cm="1">
        <f t="array" aca="1" ref="K18" ca="1">IF(YEAR(INDIRECT("'"&amp;E18&amp;"'!"&amp;"D10"))&lt;2021=TRUE,SUM(INDIRECT("'"&amp;E18&amp;"'!"&amp;"L"&amp;MATCH(DATE(2021,1,DAY(INDIRECT("'"&amp;E18&amp;"'!"&amp;"D10"))),INDIRECT("'"&amp;E18&amp;"'!"&amp;"C:C"))):INDIRECT("'"&amp;E18&amp;"'!"&amp;"L"&amp;MATCH(DATE(2021,12,DAY(INDIRECT("'"&amp;E18&amp;"'!"&amp;"D10"))),INDIRECT("'"&amp;E18&amp;"'!"&amp;"C:C")))),SUM(INDIRECT("'"&amp;E18&amp;"'!"&amp;"L"&amp;MATCH(DATE(2021,MAX(1,MONTH(INDIRECT("'"&amp;E18&amp;"'!"&amp;"D10"))),DAY(INDIRECT("'"&amp;E18&amp;"'!"&amp;"D10"))),INDIRECT("'"&amp;E18&amp;"'!"&amp;"C:C"))):INDIRECT("'"&amp;E18&amp;"'!"&amp;"L"&amp;MATCH(DATE(2021,12,DAY(INDIRECT("'"&amp;E18&amp;"'!"&amp;"D10"))),INDIRECT("'"&amp;E18&amp;"'!"&amp;"C:C")))))</f>
        <v>-103867.56371383813</v>
      </c>
    </row>
    <row r="19" spans="5:11" x14ac:dyDescent="0.45">
      <c r="E19" s="138" t="s">
        <v>33</v>
      </c>
      <c r="F19" s="5" cm="1">
        <f t="array" aca="1" ref="F19" ca="1">IF(YEAR(INDIRECT("'"&amp;E19&amp;"'!"&amp;"D10"))&lt;2021=TRUE,INDEX(INDIRECT("'"&amp;E19&amp;"'!"&amp;"K:K"),MATCH(DATE(2021,1,DAY(INDIRECT("'"&amp;E19&amp;"'!"&amp;"D10"))),INDIRECT("'"&amp;E19&amp;"'!"&amp;"C:C"))),INDEX(INDIRECT("'"&amp;E19&amp;"'!"&amp;"K:K"),MATCH(DATE(2021,MAX(1,MONTH(INDIRECT("'"&amp;E19&amp;"'!"&amp;"D10"))),DAY(INDIRECT("'"&amp;E19&amp;"'!"&amp;"D10"))),INDIRECT("'"&amp;E19&amp;"'!"&amp;"C:C"))))</f>
        <v>793901.34768297931</v>
      </c>
      <c r="G19" s="5" cm="1">
        <f t="array" aca="1" ref="G19" ca="1">IF(YEAR(INDIRECT("'"&amp;E19&amp;"'!"&amp;"D10"))&lt;2021=TRUE,INDEX(INDIRECT("'"&amp;E19&amp;"'!"&amp;"E:E"),MATCH(DATE(2021,1,DAY(INDIRECT("'"&amp;E19&amp;"'!"&amp;"D10"))),INDIRECT("'"&amp;E19&amp;"'!"&amp;"C:C"))),INDEX(INDIRECT("'"&amp;E19&amp;"'!"&amp;"E:E"),MATCH(DATE(2021,MAX(1,MONTH(INDIRECT("'"&amp;E19&amp;"'!"&amp;"D10"))),DAY(INDIRECT("'"&amp;E19&amp;"'!"&amp;"D10"))),INDIRECT("'"&amp;E19&amp;"'!"&amp;"C:C"))))</f>
        <v>793901.34768297931</v>
      </c>
      <c r="H19" s="5" cm="1">
        <f t="array" aca="1" ref="H19" ca="1">IF(YEAR(INDIRECT("'"&amp;E19&amp;"'!"&amp;"D10"))&lt;2021=TRUE,SUM(INDIRECT("'"&amp;E19&amp;"'!"&amp;"F"&amp;MATCH(DATE(2021,1,DAY(INDIRECT("'"&amp;E19&amp;"'!"&amp;"D10"))),INDIRECT("'"&amp;E19&amp;"'!"&amp;"C:C"))):INDIRECT("'"&amp;E19&amp;"'!"&amp;"G"&amp;MATCH(DATE(2021,12,DAY(INDIRECT("'"&amp;E19&amp;"'!"&amp;"D10"))),INDIRECT("'"&amp;E19&amp;"'!"&amp;"C:C")))),SUM(INDIRECT("'"&amp;E19&amp;"'!"&amp;"F"&amp;MATCH(DATE(2021,MAX(1,MONTH(INDIRECT("'"&amp;E19&amp;"'!"&amp;"D10"))),DAY(INDIRECT("'"&amp;E19&amp;"'!"&amp;"D10"))),INDIRECT("'"&amp;E19&amp;"'!"&amp;"C:C"))):INDIRECT("'"&amp;E19&amp;"'!"&amp;"G"&amp;MATCH(DATE(2021,12,DAY(INDIRECT("'"&amp;E19&amp;"'!"&amp;"D10"))),INDIRECT("'"&amp;E19&amp;"'!"&amp;"C:C")))))</f>
        <v>-189163.96345756564</v>
      </c>
      <c r="I19" s="5" cm="1">
        <f t="array" aca="1" ref="I19" ca="1">IF(YEAR(INDIRECT("'"&amp;E19&amp;"'!"&amp;"D10"))&lt;2021=TRUE,SUM(INDIRECT("'"&amp;E19&amp;"'!"&amp;"F"&amp;MATCH(DATE(2021,1,DAY(INDIRECT("'"&amp;E19&amp;"'!"&amp;"D10"))),INDIRECT("'"&amp;E19&amp;"'!"&amp;"C:C"))):INDIRECT("'"&amp;E19&amp;"'!"&amp;"F"&amp;MATCH(DATE(2021,12,DAY(INDIRECT("'"&amp;E19&amp;"'!"&amp;"D10"))),INDIRECT("'"&amp;E19&amp;"'!"&amp;"C:C")))),SUM(INDIRECT("'"&amp;E19&amp;"'!"&amp;"F"&amp;MATCH(DATE(2021,MAX(1,MONTH(INDIRECT("'"&amp;E19&amp;"'!"&amp;"D10"))),DAY(INDIRECT("'"&amp;E19&amp;"'!"&amp;"D10"))),INDIRECT("'"&amp;E19&amp;"'!"&amp;"C:C"))):INDIRECT("'"&amp;E19&amp;"'!"&amp;"F"&amp;MATCH(DATE(2021,12,DAY(INDIRECT("'"&amp;E19&amp;"'!"&amp;"D10"))),INDIRECT("'"&amp;E19&amp;"'!"&amp;"C:C")))))</f>
        <v>-206739</v>
      </c>
      <c r="J19" s="5" cm="1">
        <f t="array" aca="1" ref="J19" ca="1">IF(YEAR(INDIRECT("'"&amp;E19&amp;"'!"&amp;"D10"))&lt;2021=TRUE,SUM(INDIRECT("'"&amp;E19&amp;"'!"&amp;"G"&amp;MATCH(DATE(2021,1,DAY(INDIRECT("'"&amp;E19&amp;"'!"&amp;"D10"))),INDIRECT("'"&amp;E19&amp;"'!"&amp;"C:C"))):INDIRECT("'"&amp;E19&amp;"'!"&amp;"G"&amp;MATCH(DATE(2021,12,DAY(INDIRECT("'"&amp;E19&amp;"'!"&amp;"D10"))),INDIRECT("'"&amp;E19&amp;"'!"&amp;"C:C")))),SUM(INDIRECT("'"&amp;E19&amp;"'!"&amp;"G"&amp;MATCH(DATE(2021,MAX(1,MONTH(INDIRECT("'"&amp;E19&amp;"'!"&amp;"D10"))),DAY(INDIRECT("'"&amp;E19&amp;"'!"&amp;"D10"))),INDIRECT("'"&amp;E19&amp;"'!"&amp;"C:C"))):INDIRECT("'"&amp;E19&amp;"'!"&amp;"G"&amp;MATCH(DATE(2021,12,DAY(INDIRECT("'"&amp;E19&amp;"'!"&amp;"D10"))),INDIRECT("'"&amp;E19&amp;"'!"&amp;"C:C")))))</f>
        <v>17575.036542434354</v>
      </c>
      <c r="K19" s="134" cm="1">
        <f t="array" aca="1" ref="K19" ca="1">IF(YEAR(INDIRECT("'"&amp;E19&amp;"'!"&amp;"D10"))&lt;2021=TRUE,SUM(INDIRECT("'"&amp;E19&amp;"'!"&amp;"L"&amp;MATCH(DATE(2021,1,DAY(INDIRECT("'"&amp;E19&amp;"'!"&amp;"D10"))),INDIRECT("'"&amp;E19&amp;"'!"&amp;"C:C"))):INDIRECT("'"&amp;E19&amp;"'!"&amp;"L"&amp;MATCH(DATE(2021,12,DAY(INDIRECT("'"&amp;E19&amp;"'!"&amp;"D10"))),INDIRECT("'"&amp;E19&amp;"'!"&amp;"C:C")))),SUM(INDIRECT("'"&amp;E19&amp;"'!"&amp;"L"&amp;MATCH(DATE(2021,MAX(1,MONTH(INDIRECT("'"&amp;E19&amp;"'!"&amp;"D10"))),DAY(INDIRECT("'"&amp;E19&amp;"'!"&amp;"D10"))),INDIRECT("'"&amp;E19&amp;"'!"&amp;"C:C"))):INDIRECT("'"&amp;E19&amp;"'!"&amp;"L"&amp;MATCH(DATE(2021,12,DAY(INDIRECT("'"&amp;E19&amp;"'!"&amp;"D10"))),INDIRECT("'"&amp;E19&amp;"'!"&amp;"C:C")))))</f>
        <v>-198475.33692074483</v>
      </c>
    </row>
    <row r="20" spans="5:11" x14ac:dyDescent="0.45">
      <c r="E20" s="138" t="s">
        <v>34</v>
      </c>
      <c r="F20" s="5" cm="1">
        <f t="array" aca="1" ref="F20" ca="1">IF(YEAR(INDIRECT("'"&amp;E20&amp;"'!"&amp;"D10"))&lt;2021=TRUE,INDEX(INDIRECT("'"&amp;E20&amp;"'!"&amp;"K:K"),MATCH(DATE(2021,1,DAY(INDIRECT("'"&amp;E20&amp;"'!"&amp;"D10"))),INDIRECT("'"&amp;E20&amp;"'!"&amp;"C:C"))),INDEX(INDIRECT("'"&amp;E20&amp;"'!"&amp;"K:K"),MATCH(DATE(2021,MAX(1,MONTH(INDIRECT("'"&amp;E20&amp;"'!"&amp;"D10"))),DAY(INDIRECT("'"&amp;E20&amp;"'!"&amp;"D10"))),INDIRECT("'"&amp;E20&amp;"'!"&amp;"C:C"))))</f>
        <v>291664.18108283321</v>
      </c>
      <c r="G20" s="5" cm="1">
        <f t="array" aca="1" ref="G20" ca="1">IF(YEAR(INDIRECT("'"&amp;E20&amp;"'!"&amp;"D10"))&lt;2021=TRUE,INDEX(INDIRECT("'"&amp;E20&amp;"'!"&amp;"E:E"),MATCH(DATE(2021,1,DAY(INDIRECT("'"&amp;E20&amp;"'!"&amp;"D10"))),INDIRECT("'"&amp;E20&amp;"'!"&amp;"C:C"))),INDEX(INDIRECT("'"&amp;E20&amp;"'!"&amp;"E:E"),MATCH(DATE(2021,MAX(1,MONTH(INDIRECT("'"&amp;E20&amp;"'!"&amp;"D10"))),DAY(INDIRECT("'"&amp;E20&amp;"'!"&amp;"D10"))),INDIRECT("'"&amp;E20&amp;"'!"&amp;"C:C"))))</f>
        <v>291664.18108283321</v>
      </c>
      <c r="H20" s="5" cm="1">
        <f t="array" aca="1" ref="H20" ca="1">IF(YEAR(INDIRECT("'"&amp;E20&amp;"'!"&amp;"D10"))&lt;2021=TRUE,SUM(INDIRECT("'"&amp;E20&amp;"'!"&amp;"F"&amp;MATCH(DATE(2021,1,DAY(INDIRECT("'"&amp;E20&amp;"'!"&amp;"D10"))),INDIRECT("'"&amp;E20&amp;"'!"&amp;"C:C"))):INDIRECT("'"&amp;E20&amp;"'!"&amp;"G"&amp;MATCH(DATE(2021,12,DAY(INDIRECT("'"&amp;E20&amp;"'!"&amp;"D10"))),INDIRECT("'"&amp;E20&amp;"'!"&amp;"C:C")))),SUM(INDIRECT("'"&amp;E20&amp;"'!"&amp;"F"&amp;MATCH(DATE(2021,MAX(1,MONTH(INDIRECT("'"&amp;E20&amp;"'!"&amp;"D10"))),DAY(INDIRECT("'"&amp;E20&amp;"'!"&amp;"D10"))),INDIRECT("'"&amp;E20&amp;"'!"&amp;"C:C"))):INDIRECT("'"&amp;E20&amp;"'!"&amp;"G"&amp;MATCH(DATE(2021,12,DAY(INDIRECT("'"&amp;E20&amp;"'!"&amp;"D10"))),INDIRECT("'"&amp;E20&amp;"'!"&amp;"C:C")))))</f>
        <v>-67315.393447717754</v>
      </c>
      <c r="I20" s="5" cm="1">
        <f t="array" aca="1" ref="I20" ca="1">IF(YEAR(INDIRECT("'"&amp;E20&amp;"'!"&amp;"D10"))&lt;2021=TRUE,SUM(INDIRECT("'"&amp;E20&amp;"'!"&amp;"F"&amp;MATCH(DATE(2021,1,DAY(INDIRECT("'"&amp;E20&amp;"'!"&amp;"D10"))),INDIRECT("'"&amp;E20&amp;"'!"&amp;"C:C"))):INDIRECT("'"&amp;E20&amp;"'!"&amp;"F"&amp;MATCH(DATE(2021,12,DAY(INDIRECT("'"&amp;E20&amp;"'!"&amp;"D10"))),INDIRECT("'"&amp;E20&amp;"'!"&amp;"C:C")))),SUM(INDIRECT("'"&amp;E20&amp;"'!"&amp;"F"&amp;MATCH(DATE(2021,MAX(1,MONTH(INDIRECT("'"&amp;E20&amp;"'!"&amp;"D10"))),DAY(INDIRECT("'"&amp;E20&amp;"'!"&amp;"D10"))),INDIRECT("'"&amp;E20&amp;"'!"&amp;"C:C"))):INDIRECT("'"&amp;E20&amp;"'!"&amp;"F"&amp;MATCH(DATE(2021,12,DAY(INDIRECT("'"&amp;E20&amp;"'!"&amp;"D10"))),INDIRECT("'"&amp;E20&amp;"'!"&amp;"C:C")))))</f>
        <v>-73569.600000000006</v>
      </c>
      <c r="J20" s="5" cm="1">
        <f t="array" aca="1" ref="J20" ca="1">IF(YEAR(INDIRECT("'"&amp;E20&amp;"'!"&amp;"D10"))&lt;2021=TRUE,SUM(INDIRECT("'"&amp;E20&amp;"'!"&amp;"G"&amp;MATCH(DATE(2021,1,DAY(INDIRECT("'"&amp;E20&amp;"'!"&amp;"D10"))),INDIRECT("'"&amp;E20&amp;"'!"&amp;"C:C"))):INDIRECT("'"&amp;E20&amp;"'!"&amp;"G"&amp;MATCH(DATE(2021,12,DAY(INDIRECT("'"&amp;E20&amp;"'!"&amp;"D10"))),INDIRECT("'"&amp;E20&amp;"'!"&amp;"C:C")))),SUM(INDIRECT("'"&amp;E20&amp;"'!"&amp;"G"&amp;MATCH(DATE(2021,MAX(1,MONTH(INDIRECT("'"&amp;E20&amp;"'!"&amp;"D10"))),DAY(INDIRECT("'"&amp;E20&amp;"'!"&amp;"D10"))),INDIRECT("'"&amp;E20&amp;"'!"&amp;"C:C"))):INDIRECT("'"&amp;E20&amp;"'!"&amp;"G"&amp;MATCH(DATE(2021,12,DAY(INDIRECT("'"&amp;E20&amp;"'!"&amp;"D10"))),INDIRECT("'"&amp;E20&amp;"'!"&amp;"C:C")))))</f>
        <v>6254.2065522822413</v>
      </c>
      <c r="K20" s="134" cm="1">
        <f t="array" aca="1" ref="K20" ca="1">IF(YEAR(INDIRECT("'"&amp;E20&amp;"'!"&amp;"D10"))&lt;2021=TRUE,SUM(INDIRECT("'"&amp;E20&amp;"'!"&amp;"L"&amp;MATCH(DATE(2021,1,DAY(INDIRECT("'"&amp;E20&amp;"'!"&amp;"D10"))),INDIRECT("'"&amp;E20&amp;"'!"&amp;"C:C"))):INDIRECT("'"&amp;E20&amp;"'!"&amp;"L"&amp;MATCH(DATE(2021,12,DAY(INDIRECT("'"&amp;E20&amp;"'!"&amp;"D10"))),INDIRECT("'"&amp;E20&amp;"'!"&amp;"C:C")))),SUM(INDIRECT("'"&amp;E20&amp;"'!"&amp;"L"&amp;MATCH(DATE(2021,MAX(1,MONTH(INDIRECT("'"&amp;E20&amp;"'!"&amp;"D10"))),DAY(INDIRECT("'"&amp;E20&amp;"'!"&amp;"D10"))),INDIRECT("'"&amp;E20&amp;"'!"&amp;"C:C"))):INDIRECT("'"&amp;E20&amp;"'!"&amp;"L"&amp;MATCH(DATE(2021,12,DAY(INDIRECT("'"&amp;E20&amp;"'!"&amp;"D10"))),INDIRECT("'"&amp;E20&amp;"'!"&amp;"C:C")))))</f>
        <v>-72916.045270708302</v>
      </c>
    </row>
    <row r="21" spans="5:11" x14ac:dyDescent="0.45">
      <c r="E21" s="138" t="s">
        <v>35</v>
      </c>
      <c r="F21" s="5" cm="1">
        <f t="array" aca="1" ref="F21" ca="1">IF(YEAR(INDIRECT("'"&amp;E21&amp;"'!"&amp;"D10"))&lt;2021=TRUE,INDEX(INDIRECT("'"&amp;E21&amp;"'!"&amp;"K:K"),MATCH(DATE(2021,1,DAY(INDIRECT("'"&amp;E21&amp;"'!"&amp;"D10"))),INDIRECT("'"&amp;E21&amp;"'!"&amp;"C:C"))),INDEX(INDIRECT("'"&amp;E21&amp;"'!"&amp;"K:K"),MATCH(DATE(2021,MAX(1,MONTH(INDIRECT("'"&amp;E21&amp;"'!"&amp;"D10"))),DAY(INDIRECT("'"&amp;E21&amp;"'!"&amp;"D10"))),INDIRECT("'"&amp;E21&amp;"'!"&amp;"C:C"))))</f>
        <v>637986.13270253211</v>
      </c>
      <c r="G21" s="5" cm="1">
        <f t="array" aca="1" ref="G21" ca="1">IF(YEAR(INDIRECT("'"&amp;E21&amp;"'!"&amp;"D10"))&lt;2021=TRUE,INDEX(INDIRECT("'"&amp;E21&amp;"'!"&amp;"E:E"),MATCH(DATE(2021,1,DAY(INDIRECT("'"&amp;E21&amp;"'!"&amp;"D10"))),INDIRECT("'"&amp;E21&amp;"'!"&amp;"C:C"))),INDEX(INDIRECT("'"&amp;E21&amp;"'!"&amp;"E:E"),MATCH(DATE(2021,MAX(1,MONTH(INDIRECT("'"&amp;E21&amp;"'!"&amp;"D10"))),DAY(INDIRECT("'"&amp;E21&amp;"'!"&amp;"D10"))),INDIRECT("'"&amp;E21&amp;"'!"&amp;"C:C"))))</f>
        <v>637986.13270253211</v>
      </c>
      <c r="H21" s="5" cm="1">
        <f t="array" aca="1" ref="H21" ca="1">IF(YEAR(INDIRECT("'"&amp;E21&amp;"'!"&amp;"D10"))&lt;2021=TRUE,SUM(INDIRECT("'"&amp;E21&amp;"'!"&amp;"F"&amp;MATCH(DATE(2021,1,DAY(INDIRECT("'"&amp;E21&amp;"'!"&amp;"D10"))),INDIRECT("'"&amp;E21&amp;"'!"&amp;"C:C"))):INDIRECT("'"&amp;E21&amp;"'!"&amp;"G"&amp;MATCH(DATE(2021,12,DAY(INDIRECT("'"&amp;E21&amp;"'!"&amp;"D10"))),INDIRECT("'"&amp;E21&amp;"'!"&amp;"C:C")))),SUM(INDIRECT("'"&amp;E21&amp;"'!"&amp;"F"&amp;MATCH(DATE(2021,MAX(1,MONTH(INDIRECT("'"&amp;E21&amp;"'!"&amp;"D10"))),DAY(INDIRECT("'"&amp;E21&amp;"'!"&amp;"D10"))),INDIRECT("'"&amp;E21&amp;"'!"&amp;"C:C"))):INDIRECT("'"&amp;E21&amp;"'!"&amp;"G"&amp;MATCH(DATE(2021,12,DAY(INDIRECT("'"&amp;E21&amp;"'!"&amp;"D10"))),INDIRECT("'"&amp;E21&amp;"'!"&amp;"C:C")))))</f>
        <v>-138055.43883912684</v>
      </c>
      <c r="I21" s="5" cm="1">
        <f t="array" aca="1" ref="I21" ca="1">IF(YEAR(INDIRECT("'"&amp;E21&amp;"'!"&amp;"D10"))&lt;2021=TRUE,SUM(INDIRECT("'"&amp;E21&amp;"'!"&amp;"F"&amp;MATCH(DATE(2021,1,DAY(INDIRECT("'"&amp;E21&amp;"'!"&amp;"D10"))),INDIRECT("'"&amp;E21&amp;"'!"&amp;"C:C"))):INDIRECT("'"&amp;E21&amp;"'!"&amp;"F"&amp;MATCH(DATE(2021,12,DAY(INDIRECT("'"&amp;E21&amp;"'!"&amp;"D10"))),INDIRECT("'"&amp;E21&amp;"'!"&amp;"C:C")))),SUM(INDIRECT("'"&amp;E21&amp;"'!"&amp;"F"&amp;MATCH(DATE(2021,MAX(1,MONTH(INDIRECT("'"&amp;E21&amp;"'!"&amp;"D10"))),DAY(INDIRECT("'"&amp;E21&amp;"'!"&amp;"D10"))),INDIRECT("'"&amp;E21&amp;"'!"&amp;"C:C"))):INDIRECT("'"&amp;E21&amp;"'!"&amp;"F"&amp;MATCH(DATE(2021,12,DAY(INDIRECT("'"&amp;E21&amp;"'!"&amp;"D10"))),INDIRECT("'"&amp;E21&amp;"'!"&amp;"C:C")))))</f>
        <v>-151315.19999999998</v>
      </c>
      <c r="J21" s="5" cm="1">
        <f t="array" aca="1" ref="J21" ca="1">IF(YEAR(INDIRECT("'"&amp;E21&amp;"'!"&amp;"D10"))&lt;2021=TRUE,SUM(INDIRECT("'"&amp;E21&amp;"'!"&amp;"G"&amp;MATCH(DATE(2021,1,DAY(INDIRECT("'"&amp;E21&amp;"'!"&amp;"D10"))),INDIRECT("'"&amp;E21&amp;"'!"&amp;"C:C"))):INDIRECT("'"&amp;E21&amp;"'!"&amp;"G"&amp;MATCH(DATE(2021,12,DAY(INDIRECT("'"&amp;E21&amp;"'!"&amp;"D10"))),INDIRECT("'"&amp;E21&amp;"'!"&amp;"C:C")))),SUM(INDIRECT("'"&amp;E21&amp;"'!"&amp;"G"&amp;MATCH(DATE(2021,MAX(1,MONTH(INDIRECT("'"&amp;E21&amp;"'!"&amp;"D10"))),DAY(INDIRECT("'"&amp;E21&amp;"'!"&amp;"D10"))),INDIRECT("'"&amp;E21&amp;"'!"&amp;"C:C"))):INDIRECT("'"&amp;E21&amp;"'!"&amp;"G"&amp;MATCH(DATE(2021,12,DAY(INDIRECT("'"&amp;E21&amp;"'!"&amp;"D10"))),INDIRECT("'"&amp;E21&amp;"'!"&amp;"C:C")))))</f>
        <v>13259.761160873171</v>
      </c>
      <c r="K21" s="134" cm="1">
        <f t="array" aca="1" ref="K21" ca="1">IF(YEAR(INDIRECT("'"&amp;E21&amp;"'!"&amp;"D10"))&lt;2021=TRUE,SUM(INDIRECT("'"&amp;E21&amp;"'!"&amp;"L"&amp;MATCH(DATE(2021,1,DAY(INDIRECT("'"&amp;E21&amp;"'!"&amp;"D10"))),INDIRECT("'"&amp;E21&amp;"'!"&amp;"C:C"))):INDIRECT("'"&amp;E21&amp;"'!"&amp;"L"&amp;MATCH(DATE(2021,12,DAY(INDIRECT("'"&amp;E21&amp;"'!"&amp;"D10"))),INDIRECT("'"&amp;E21&amp;"'!"&amp;"C:C")))),SUM(INDIRECT("'"&amp;E21&amp;"'!"&amp;"L"&amp;MATCH(DATE(2021,MAX(1,MONTH(INDIRECT("'"&amp;E21&amp;"'!"&amp;"D10"))),DAY(INDIRECT("'"&amp;E21&amp;"'!"&amp;"D10"))),INDIRECT("'"&amp;E21&amp;"'!"&amp;"C:C"))):INDIRECT("'"&amp;E21&amp;"'!"&amp;"L"&amp;MATCH(DATE(2021,12,DAY(INDIRECT("'"&amp;E21&amp;"'!"&amp;"D10"))),INDIRECT("'"&amp;E21&amp;"'!"&amp;"C:C")))))</f>
        <v>-155185.81606277806</v>
      </c>
    </row>
    <row r="22" spans="5:11" x14ac:dyDescent="0.45">
      <c r="E22" s="138" t="s">
        <v>36</v>
      </c>
      <c r="F22" s="5" cm="1">
        <f t="array" aca="1" ref="F22" ca="1">IF(YEAR(INDIRECT("'"&amp;E22&amp;"'!"&amp;"D10"))&lt;2021=TRUE,INDEX(INDIRECT("'"&amp;E22&amp;"'!"&amp;"K:K"),MATCH(DATE(2021,1,DAY(INDIRECT("'"&amp;E22&amp;"'!"&amp;"D10"))),INDIRECT("'"&amp;E22&amp;"'!"&amp;"C:C"))),INDEX(INDIRECT("'"&amp;E22&amp;"'!"&amp;"K:K"),MATCH(DATE(2021,MAX(1,MONTH(INDIRECT("'"&amp;E22&amp;"'!"&amp;"D10"))),DAY(INDIRECT("'"&amp;E22&amp;"'!"&amp;"D10"))),INDIRECT("'"&amp;E22&amp;"'!"&amp;"C:C"))))</f>
        <v>511585.58199730742</v>
      </c>
      <c r="G22" s="5" cm="1">
        <f t="array" aca="1" ref="G22" ca="1">IF(YEAR(INDIRECT("'"&amp;E22&amp;"'!"&amp;"D10"))&lt;2021=TRUE,INDEX(INDIRECT("'"&amp;E22&amp;"'!"&amp;"E:E"),MATCH(DATE(2021,1,DAY(INDIRECT("'"&amp;E22&amp;"'!"&amp;"D10"))),INDIRECT("'"&amp;E22&amp;"'!"&amp;"C:C"))),INDEX(INDIRECT("'"&amp;E22&amp;"'!"&amp;"E:E"),MATCH(DATE(2021,MAX(1,MONTH(INDIRECT("'"&amp;E22&amp;"'!"&amp;"D10"))),DAY(INDIRECT("'"&amp;E22&amp;"'!"&amp;"D10"))),INDIRECT("'"&amp;E22&amp;"'!"&amp;"C:C"))))</f>
        <v>511585.58199730742</v>
      </c>
      <c r="H22" s="5" cm="1">
        <f t="array" aca="1" ref="H22" ca="1">IF(YEAR(INDIRECT("'"&amp;E22&amp;"'!"&amp;"D10"))&lt;2021=TRUE,SUM(INDIRECT("'"&amp;E22&amp;"'!"&amp;"F"&amp;MATCH(DATE(2021,1,DAY(INDIRECT("'"&amp;E22&amp;"'!"&amp;"D10"))),INDIRECT("'"&amp;E22&amp;"'!"&amp;"C:C"))):INDIRECT("'"&amp;E22&amp;"'!"&amp;"G"&amp;MATCH(DATE(2021,12,DAY(INDIRECT("'"&amp;E22&amp;"'!"&amp;"D10"))),INDIRECT("'"&amp;E22&amp;"'!"&amp;"C:C")))),SUM(INDIRECT("'"&amp;E22&amp;"'!"&amp;"F"&amp;MATCH(DATE(2021,MAX(1,MONTH(INDIRECT("'"&amp;E22&amp;"'!"&amp;"D10"))),DAY(INDIRECT("'"&amp;E22&amp;"'!"&amp;"D10"))),INDIRECT("'"&amp;E22&amp;"'!"&amp;"C:C"))):INDIRECT("'"&amp;E22&amp;"'!"&amp;"G"&amp;MATCH(DATE(2021,12,DAY(INDIRECT("'"&amp;E22&amp;"'!"&amp;"D10"))),INDIRECT("'"&amp;E22&amp;"'!"&amp;"C:C")))))</f>
        <v>-90742.799103305369</v>
      </c>
      <c r="I22" s="5" cm="1">
        <f t="array" aca="1" ref="I22" ca="1">IF(YEAR(INDIRECT("'"&amp;E22&amp;"'!"&amp;"D10"))&lt;2021=TRUE,SUM(INDIRECT("'"&amp;E22&amp;"'!"&amp;"F"&amp;MATCH(DATE(2021,1,DAY(INDIRECT("'"&amp;E22&amp;"'!"&amp;"D10"))),INDIRECT("'"&amp;E22&amp;"'!"&amp;"C:C"))):INDIRECT("'"&amp;E22&amp;"'!"&amp;"F"&amp;MATCH(DATE(2021,12,DAY(INDIRECT("'"&amp;E22&amp;"'!"&amp;"D10"))),INDIRECT("'"&amp;E22&amp;"'!"&amp;"C:C")))),SUM(INDIRECT("'"&amp;E22&amp;"'!"&amp;"F"&amp;MATCH(DATE(2021,MAX(1,MONTH(INDIRECT("'"&amp;E22&amp;"'!"&amp;"D10"))),DAY(INDIRECT("'"&amp;E22&amp;"'!"&amp;"D10"))),INDIRECT("'"&amp;E22&amp;"'!"&amp;"C:C"))):INDIRECT("'"&amp;E22&amp;"'!"&amp;"F"&amp;MATCH(DATE(2021,12,DAY(INDIRECT("'"&amp;E22&amp;"'!"&amp;"D10"))),INDIRECT("'"&amp;E22&amp;"'!"&amp;"C:C")))))</f>
        <v>-99459.430000000008</v>
      </c>
      <c r="J22" s="5" cm="1">
        <f t="array" aca="1" ref="J22" ca="1">IF(YEAR(INDIRECT("'"&amp;E22&amp;"'!"&amp;"D10"))&lt;2021=TRUE,SUM(INDIRECT("'"&amp;E22&amp;"'!"&amp;"G"&amp;MATCH(DATE(2021,1,DAY(INDIRECT("'"&amp;E22&amp;"'!"&amp;"D10"))),INDIRECT("'"&amp;E22&amp;"'!"&amp;"C:C"))):INDIRECT("'"&amp;E22&amp;"'!"&amp;"G"&amp;MATCH(DATE(2021,12,DAY(INDIRECT("'"&amp;E22&amp;"'!"&amp;"D10"))),INDIRECT("'"&amp;E22&amp;"'!"&amp;"C:C")))),SUM(INDIRECT("'"&amp;E22&amp;"'!"&amp;"G"&amp;MATCH(DATE(2021,MAX(1,MONTH(INDIRECT("'"&amp;E22&amp;"'!"&amp;"D10"))),DAY(INDIRECT("'"&amp;E22&amp;"'!"&amp;"D10"))),INDIRECT("'"&amp;E22&amp;"'!"&amp;"C:C"))):INDIRECT("'"&amp;E22&amp;"'!"&amp;"G"&amp;MATCH(DATE(2021,12,DAY(INDIRECT("'"&amp;E22&amp;"'!"&amp;"D10"))),INDIRECT("'"&amp;E22&amp;"'!"&amp;"C:C")))))</f>
        <v>8716.6308966946162</v>
      </c>
      <c r="K22" s="134" cm="1">
        <f t="array" aca="1" ref="K22" ca="1">IF(YEAR(INDIRECT("'"&amp;E22&amp;"'!"&amp;"D10"))&lt;2021=TRUE,SUM(INDIRECT("'"&amp;E22&amp;"'!"&amp;"L"&amp;MATCH(DATE(2021,1,DAY(INDIRECT("'"&amp;E22&amp;"'!"&amp;"D10"))),INDIRECT("'"&amp;E22&amp;"'!"&amp;"C:C"))):INDIRECT("'"&amp;E22&amp;"'!"&amp;"L"&amp;MATCH(DATE(2021,12,DAY(INDIRECT("'"&amp;E22&amp;"'!"&amp;"D10"))),INDIRECT("'"&amp;E22&amp;"'!"&amp;"C:C")))),SUM(INDIRECT("'"&amp;E22&amp;"'!"&amp;"L"&amp;MATCH(DATE(2021,MAX(1,MONTH(INDIRECT("'"&amp;E22&amp;"'!"&amp;"D10"))),DAY(INDIRECT("'"&amp;E22&amp;"'!"&amp;"D10"))),INDIRECT("'"&amp;E22&amp;"'!"&amp;"C:C"))):INDIRECT("'"&amp;E22&amp;"'!"&amp;"L"&amp;MATCH(DATE(2021,12,DAY(INDIRECT("'"&amp;E22&amp;"'!"&amp;"D10"))),INDIRECT("'"&amp;E22&amp;"'!"&amp;"C:C")))))</f>
        <v>-99474.974277254194</v>
      </c>
    </row>
    <row r="23" spans="5:11" x14ac:dyDescent="0.45">
      <c r="E23" s="138" t="s">
        <v>37</v>
      </c>
      <c r="F23" s="5" cm="1">
        <f t="array" aca="1" ref="F23" ca="1">IF(YEAR(INDIRECT("'"&amp;E23&amp;"'!"&amp;"D10"))&lt;2021=TRUE,INDEX(INDIRECT("'"&amp;E23&amp;"'!"&amp;"K:K"),MATCH(DATE(2021,1,DAY(INDIRECT("'"&amp;E23&amp;"'!"&amp;"D10"))),INDIRECT("'"&amp;E23&amp;"'!"&amp;"C:C"))),INDEX(INDIRECT("'"&amp;E23&amp;"'!"&amp;"K:K"),MATCH(DATE(2021,MAX(1,MONTH(INDIRECT("'"&amp;E23&amp;"'!"&amp;"D10"))),DAY(INDIRECT("'"&amp;E23&amp;"'!"&amp;"D10"))),INDIRECT("'"&amp;E23&amp;"'!"&amp;"C:C"))))</f>
        <v>1687609.6345002353</v>
      </c>
      <c r="G23" s="5" cm="1">
        <f t="array" aca="1" ref="G23" ca="1">IF(YEAR(INDIRECT("'"&amp;E23&amp;"'!"&amp;"D10"))&lt;2021=TRUE,INDEX(INDIRECT("'"&amp;E23&amp;"'!"&amp;"E:E"),MATCH(DATE(2021,1,DAY(INDIRECT("'"&amp;E23&amp;"'!"&amp;"D10"))),INDIRECT("'"&amp;E23&amp;"'!"&amp;"C:C"))),INDEX(INDIRECT("'"&amp;E23&amp;"'!"&amp;"E:E"),MATCH(DATE(2021,MAX(1,MONTH(INDIRECT("'"&amp;E23&amp;"'!"&amp;"D10"))),DAY(INDIRECT("'"&amp;E23&amp;"'!"&amp;"D10"))),INDIRECT("'"&amp;E23&amp;"'!"&amp;"C:C"))))</f>
        <v>1687609.6345002353</v>
      </c>
      <c r="H23" s="5" cm="1">
        <f t="array" aca="1" ref="H23" ca="1">IF(YEAR(INDIRECT("'"&amp;E23&amp;"'!"&amp;"D10"))&lt;2021=TRUE,SUM(INDIRECT("'"&amp;E23&amp;"'!"&amp;"F"&amp;MATCH(DATE(2021,1,DAY(INDIRECT("'"&amp;E23&amp;"'!"&amp;"D10"))),INDIRECT("'"&amp;E23&amp;"'!"&amp;"C:C"))):INDIRECT("'"&amp;E23&amp;"'!"&amp;"G"&amp;MATCH(DATE(2021,12,DAY(INDIRECT("'"&amp;E23&amp;"'!"&amp;"D10"))),INDIRECT("'"&amp;E23&amp;"'!"&amp;"C:C")))),SUM(INDIRECT("'"&amp;E23&amp;"'!"&amp;"F"&amp;MATCH(DATE(2021,MAX(1,MONTH(INDIRECT("'"&amp;E23&amp;"'!"&amp;"D10"))),DAY(INDIRECT("'"&amp;E23&amp;"'!"&amp;"D10"))),INDIRECT("'"&amp;E23&amp;"'!"&amp;"C:C"))):INDIRECT("'"&amp;E23&amp;"'!"&amp;"G"&amp;MATCH(DATE(2021,12,DAY(INDIRECT("'"&amp;E23&amp;"'!"&amp;"D10"))),INDIRECT("'"&amp;E23&amp;"'!"&amp;"C:C")))))</f>
        <v>-89256.914329138686</v>
      </c>
      <c r="I23" s="5" cm="1">
        <f t="array" aca="1" ref="I23" ca="1">IF(YEAR(INDIRECT("'"&amp;E23&amp;"'!"&amp;"D10"))&lt;2021=TRUE,SUM(INDIRECT("'"&amp;E23&amp;"'!"&amp;"F"&amp;MATCH(DATE(2021,1,DAY(INDIRECT("'"&amp;E23&amp;"'!"&amp;"D10"))),INDIRECT("'"&amp;E23&amp;"'!"&amp;"C:C"))):INDIRECT("'"&amp;E23&amp;"'!"&amp;"F"&amp;MATCH(DATE(2021,12,DAY(INDIRECT("'"&amp;E23&amp;"'!"&amp;"D10"))),INDIRECT("'"&amp;E23&amp;"'!"&amp;"C:C")))),SUM(INDIRECT("'"&amp;E23&amp;"'!"&amp;"F"&amp;MATCH(DATE(2021,MAX(1,MONTH(INDIRECT("'"&amp;E23&amp;"'!"&amp;"D10"))),DAY(INDIRECT("'"&amp;E23&amp;"'!"&amp;"D10"))),INDIRECT("'"&amp;E23&amp;"'!"&amp;"C:C"))):INDIRECT("'"&amp;E23&amp;"'!"&amp;"F"&amp;MATCH(DATE(2021,12,DAY(INDIRECT("'"&amp;E23&amp;"'!"&amp;"D10"))),INDIRECT("'"&amp;E23&amp;"'!"&amp;"C:C")))))</f>
        <v>-98536</v>
      </c>
      <c r="J23" s="5" cm="1">
        <f t="array" aca="1" ref="J23" ca="1">IF(YEAR(INDIRECT("'"&amp;E23&amp;"'!"&amp;"D10"))&lt;2021=TRUE,SUM(INDIRECT("'"&amp;E23&amp;"'!"&amp;"G"&amp;MATCH(DATE(2021,1,DAY(INDIRECT("'"&amp;E23&amp;"'!"&amp;"D10"))),INDIRECT("'"&amp;E23&amp;"'!"&amp;"C:C"))):INDIRECT("'"&amp;E23&amp;"'!"&amp;"G"&amp;MATCH(DATE(2021,12,DAY(INDIRECT("'"&amp;E23&amp;"'!"&amp;"D10"))),INDIRECT("'"&amp;E23&amp;"'!"&amp;"C:C")))),SUM(INDIRECT("'"&amp;E23&amp;"'!"&amp;"G"&amp;MATCH(DATE(2021,MAX(1,MONTH(INDIRECT("'"&amp;E23&amp;"'!"&amp;"D10"))),DAY(INDIRECT("'"&amp;E23&amp;"'!"&amp;"D10"))),INDIRECT("'"&amp;E23&amp;"'!"&amp;"C:C"))):INDIRECT("'"&amp;E23&amp;"'!"&amp;"G"&amp;MATCH(DATE(2021,12,DAY(INDIRECT("'"&amp;E23&amp;"'!"&amp;"D10"))),INDIRECT("'"&amp;E23&amp;"'!"&amp;"C:C")))))</f>
        <v>9279.085670861321</v>
      </c>
      <c r="K23" s="134" cm="1">
        <f t="array" aca="1" ref="K23" ca="1">IF(YEAR(INDIRECT("'"&amp;E23&amp;"'!"&amp;"D10"))&lt;2021=TRUE,SUM(INDIRECT("'"&amp;E23&amp;"'!"&amp;"L"&amp;MATCH(DATE(2021,1,DAY(INDIRECT("'"&amp;E23&amp;"'!"&amp;"D10"))),INDIRECT("'"&amp;E23&amp;"'!"&amp;"C:C"))):INDIRECT("'"&amp;E23&amp;"'!"&amp;"L"&amp;MATCH(DATE(2021,12,DAY(INDIRECT("'"&amp;E23&amp;"'!"&amp;"D10"))),INDIRECT("'"&amp;E23&amp;"'!"&amp;"C:C")))),SUM(INDIRECT("'"&amp;E23&amp;"'!"&amp;"L"&amp;MATCH(DATE(2021,MAX(1,MONTH(INDIRECT("'"&amp;E23&amp;"'!"&amp;"D10"))),DAY(INDIRECT("'"&amp;E23&amp;"'!"&amp;"D10"))),INDIRECT("'"&amp;E23&amp;"'!"&amp;"C:C"))):INDIRECT("'"&amp;E23&amp;"'!"&amp;"L"&amp;MATCH(DATE(2021,12,DAY(INDIRECT("'"&amp;E23&amp;"'!"&amp;"D10"))),INDIRECT("'"&amp;E23&amp;"'!"&amp;"C:C")))))</f>
        <v>-93756.09080556863</v>
      </c>
    </row>
    <row r="24" spans="5:11" x14ac:dyDescent="0.45">
      <c r="E24" s="138" t="s">
        <v>38</v>
      </c>
      <c r="F24" s="5" cm="1">
        <f t="array" aca="1" ref="F24" ca="1">IF(YEAR(INDIRECT("'"&amp;E24&amp;"'!"&amp;"D10"))&lt;2021=TRUE,INDEX(INDIRECT("'"&amp;E24&amp;"'!"&amp;"K:K"),MATCH(DATE(2021,1,DAY(INDIRECT("'"&amp;E24&amp;"'!"&amp;"D10"))),INDIRECT("'"&amp;E24&amp;"'!"&amp;"C:C"))),INDEX(INDIRECT("'"&amp;E24&amp;"'!"&amp;"K:K"),MATCH(DATE(2021,MAX(1,MONTH(INDIRECT("'"&amp;E24&amp;"'!"&amp;"D10"))),DAY(INDIRECT("'"&amp;E24&amp;"'!"&amp;"D10"))),INDIRECT("'"&amp;E24&amp;"'!"&amp;"C:C"))))</f>
        <v>584796.80729576538</v>
      </c>
      <c r="G24" s="5" cm="1">
        <f t="array" aca="1" ref="G24" ca="1">IF(YEAR(INDIRECT("'"&amp;E24&amp;"'!"&amp;"D10"))&lt;2021=TRUE,INDEX(INDIRECT("'"&amp;E24&amp;"'!"&amp;"E:E"),MATCH(DATE(2021,1,DAY(INDIRECT("'"&amp;E24&amp;"'!"&amp;"D10"))),INDIRECT("'"&amp;E24&amp;"'!"&amp;"C:C"))),INDEX(INDIRECT("'"&amp;E24&amp;"'!"&amp;"E:E"),MATCH(DATE(2021,MAX(1,MONTH(INDIRECT("'"&amp;E24&amp;"'!"&amp;"D10"))),DAY(INDIRECT("'"&amp;E24&amp;"'!"&amp;"D10"))),INDIRECT("'"&amp;E24&amp;"'!"&amp;"C:C"))))</f>
        <v>592703.59793122474</v>
      </c>
      <c r="H24" s="5" cm="1">
        <f t="array" aca="1" ref="H24" ca="1">IF(YEAR(INDIRECT("'"&amp;E24&amp;"'!"&amp;"D10"))&lt;2021=TRUE,SUM(INDIRECT("'"&amp;E24&amp;"'!"&amp;"F"&amp;MATCH(DATE(2021,1,DAY(INDIRECT("'"&amp;E24&amp;"'!"&amp;"D10"))),INDIRECT("'"&amp;E24&amp;"'!"&amp;"C:C"))):INDIRECT("'"&amp;E24&amp;"'!"&amp;"G"&amp;MATCH(DATE(2021,12,DAY(INDIRECT("'"&amp;E24&amp;"'!"&amp;"D10"))),INDIRECT("'"&amp;E24&amp;"'!"&amp;"C:C")))),SUM(INDIRECT("'"&amp;E24&amp;"'!"&amp;"F"&amp;MATCH(DATE(2021,MAX(1,MONTH(INDIRECT("'"&amp;E24&amp;"'!"&amp;"D10"))),DAY(INDIRECT("'"&amp;E24&amp;"'!"&amp;"D10"))),INDIRECT("'"&amp;E24&amp;"'!"&amp;"C:C"))):INDIRECT("'"&amp;E24&amp;"'!"&amp;"G"&amp;MATCH(DATE(2021,12,DAY(INDIRECT("'"&amp;E24&amp;"'!"&amp;"D10"))),INDIRECT("'"&amp;E24&amp;"'!"&amp;"C:C")))))</f>
        <v>-226784.23658038559</v>
      </c>
      <c r="I24" s="5" cm="1">
        <f t="array" aca="1" ref="I24" ca="1">IF(YEAR(INDIRECT("'"&amp;E24&amp;"'!"&amp;"D10"))&lt;2021=TRUE,SUM(INDIRECT("'"&amp;E24&amp;"'!"&amp;"F"&amp;MATCH(DATE(2021,1,DAY(INDIRECT("'"&amp;E24&amp;"'!"&amp;"D10"))),INDIRECT("'"&amp;E24&amp;"'!"&amp;"C:C"))):INDIRECT("'"&amp;E24&amp;"'!"&amp;"F"&amp;MATCH(DATE(2021,12,DAY(INDIRECT("'"&amp;E24&amp;"'!"&amp;"D10"))),INDIRECT("'"&amp;E24&amp;"'!"&amp;"C:C")))),SUM(INDIRECT("'"&amp;E24&amp;"'!"&amp;"F"&amp;MATCH(DATE(2021,MAX(1,MONTH(INDIRECT("'"&amp;E24&amp;"'!"&amp;"D10"))),DAY(INDIRECT("'"&amp;E24&amp;"'!"&amp;"D10"))),INDIRECT("'"&amp;E24&amp;"'!"&amp;"C:C"))):INDIRECT("'"&amp;E24&amp;"'!"&amp;"F"&amp;MATCH(DATE(2021,12,DAY(INDIRECT("'"&amp;E24&amp;"'!"&amp;"D10"))),INDIRECT("'"&amp;E24&amp;"'!"&amp;"C:C")))))</f>
        <v>-242550</v>
      </c>
      <c r="J24" s="5" cm="1">
        <f t="array" aca="1" ref="J24" ca="1">IF(YEAR(INDIRECT("'"&amp;E24&amp;"'!"&amp;"D10"))&lt;2021=TRUE,SUM(INDIRECT("'"&amp;E24&amp;"'!"&amp;"G"&amp;MATCH(DATE(2021,1,DAY(INDIRECT("'"&amp;E24&amp;"'!"&amp;"D10"))),INDIRECT("'"&amp;E24&amp;"'!"&amp;"C:C"))):INDIRECT("'"&amp;E24&amp;"'!"&amp;"G"&amp;MATCH(DATE(2021,12,DAY(INDIRECT("'"&amp;E24&amp;"'!"&amp;"D10"))),INDIRECT("'"&amp;E24&amp;"'!"&amp;"C:C")))),SUM(INDIRECT("'"&amp;E24&amp;"'!"&amp;"G"&amp;MATCH(DATE(2021,MAX(1,MONTH(INDIRECT("'"&amp;E24&amp;"'!"&amp;"D10"))),DAY(INDIRECT("'"&amp;E24&amp;"'!"&amp;"D10"))),INDIRECT("'"&amp;E24&amp;"'!"&amp;"C:C"))):INDIRECT("'"&amp;E24&amp;"'!"&amp;"G"&amp;MATCH(DATE(2021,12,DAY(INDIRECT("'"&amp;E24&amp;"'!"&amp;"D10"))),INDIRECT("'"&amp;E24&amp;"'!"&amp;"C:C")))))</f>
        <v>15765.76341961441</v>
      </c>
      <c r="K24" s="134" cm="1">
        <f t="array" aca="1" ref="K24" ca="1">IF(YEAR(INDIRECT("'"&amp;E24&amp;"'!"&amp;"D10"))&lt;2021=TRUE,SUM(INDIRECT("'"&amp;E24&amp;"'!"&amp;"L"&amp;MATCH(DATE(2021,1,DAY(INDIRECT("'"&amp;E24&amp;"'!"&amp;"D10"))),INDIRECT("'"&amp;E24&amp;"'!"&amp;"C:C"))):INDIRECT("'"&amp;E24&amp;"'!"&amp;"L"&amp;MATCH(DATE(2021,12,DAY(INDIRECT("'"&amp;E24&amp;"'!"&amp;"D10"))),INDIRECT("'"&amp;E24&amp;"'!"&amp;"C:C")))),SUM(INDIRECT("'"&amp;E24&amp;"'!"&amp;"L"&amp;MATCH(DATE(2021,MAX(1,MONTH(INDIRECT("'"&amp;E24&amp;"'!"&amp;"D10"))),DAY(INDIRECT("'"&amp;E24&amp;"'!"&amp;"D10"))),INDIRECT("'"&amp;E24&amp;"'!"&amp;"C:C"))):INDIRECT("'"&amp;E24&amp;"'!"&amp;"L"&amp;MATCH(DATE(2021,12,DAY(INDIRECT("'"&amp;E24&amp;"'!"&amp;"D10"))),INDIRECT("'"&amp;E24&amp;"'!"&amp;"C:C")))))</f>
        <v>-233918.72291830616</v>
      </c>
    </row>
    <row r="25" spans="5:11" x14ac:dyDescent="0.45">
      <c r="E25" s="138" t="s">
        <v>39</v>
      </c>
      <c r="F25" s="5" cm="1">
        <f t="array" aca="1" ref="F25" ca="1">IF(YEAR(INDIRECT("'"&amp;E25&amp;"'!"&amp;"D10"))&lt;2021=TRUE,INDEX(INDIRECT("'"&amp;E25&amp;"'!"&amp;"K:K"),MATCH(DATE(2021,1,DAY(INDIRECT("'"&amp;E25&amp;"'!"&amp;"D10"))),INDIRECT("'"&amp;E25&amp;"'!"&amp;"C:C"))),INDEX(INDIRECT("'"&amp;E25&amp;"'!"&amp;"K:K"),MATCH(DATE(2021,MAX(1,MONTH(INDIRECT("'"&amp;E25&amp;"'!"&amp;"D10"))),DAY(INDIRECT("'"&amp;E25&amp;"'!"&amp;"D10"))),INDIRECT("'"&amp;E25&amp;"'!"&amp;"C:C"))))</f>
        <v>1199070.143327544</v>
      </c>
      <c r="G25" s="5" cm="1">
        <f t="array" aca="1" ref="G25" ca="1">IF(YEAR(INDIRECT("'"&amp;E25&amp;"'!"&amp;"D10"))&lt;2021=TRUE,INDEX(INDIRECT("'"&amp;E25&amp;"'!"&amp;"E:E"),MATCH(DATE(2021,1,DAY(INDIRECT("'"&amp;E25&amp;"'!"&amp;"D10"))),INDIRECT("'"&amp;E25&amp;"'!"&amp;"C:C"))),INDEX(INDIRECT("'"&amp;E25&amp;"'!"&amp;"E:E"),MATCH(DATE(2021,MAX(1,MONTH(INDIRECT("'"&amp;E25&amp;"'!"&amp;"D10"))),DAY(INDIRECT("'"&amp;E25&amp;"'!"&amp;"D10"))),INDIRECT("'"&amp;E25&amp;"'!"&amp;"C:C"))))</f>
        <v>1199070.143327544</v>
      </c>
      <c r="H25" s="5" cm="1">
        <f t="array" aca="1" ref="H25" ca="1">IF(YEAR(INDIRECT("'"&amp;E25&amp;"'!"&amp;"D10"))&lt;2021=TRUE,SUM(INDIRECT("'"&amp;E25&amp;"'!"&amp;"F"&amp;MATCH(DATE(2021,1,DAY(INDIRECT("'"&amp;E25&amp;"'!"&amp;"D10"))),INDIRECT("'"&amp;E25&amp;"'!"&amp;"C:C"))):INDIRECT("'"&amp;E25&amp;"'!"&amp;"G"&amp;MATCH(DATE(2021,12,DAY(INDIRECT("'"&amp;E25&amp;"'!"&amp;"D10"))),INDIRECT("'"&amp;E25&amp;"'!"&amp;"C:C")))),SUM(INDIRECT("'"&amp;E25&amp;"'!"&amp;"F"&amp;MATCH(DATE(2021,MAX(1,MONTH(INDIRECT("'"&amp;E25&amp;"'!"&amp;"D10"))),DAY(INDIRECT("'"&amp;E25&amp;"'!"&amp;"D10"))),INDIRECT("'"&amp;E25&amp;"'!"&amp;"C:C"))):INDIRECT("'"&amp;E25&amp;"'!"&amp;"G"&amp;MATCH(DATE(2021,12,DAY(INDIRECT("'"&amp;E25&amp;"'!"&amp;"D10"))),INDIRECT("'"&amp;E25&amp;"'!"&amp;"C:C")))))</f>
        <v>-63418.280430301551</v>
      </c>
      <c r="I25" s="5" cm="1">
        <f t="array" aca="1" ref="I25" ca="1">IF(YEAR(INDIRECT("'"&amp;E25&amp;"'!"&amp;"D10"))&lt;2021=TRUE,SUM(INDIRECT("'"&amp;E25&amp;"'!"&amp;"F"&amp;MATCH(DATE(2021,1,DAY(INDIRECT("'"&amp;E25&amp;"'!"&amp;"D10"))),INDIRECT("'"&amp;E25&amp;"'!"&amp;"C:C"))):INDIRECT("'"&amp;E25&amp;"'!"&amp;"F"&amp;MATCH(DATE(2021,12,DAY(INDIRECT("'"&amp;E25&amp;"'!"&amp;"D10"))),INDIRECT("'"&amp;E25&amp;"'!"&amp;"C:C")))),SUM(INDIRECT("'"&amp;E25&amp;"'!"&amp;"F"&amp;MATCH(DATE(2021,MAX(1,MONTH(INDIRECT("'"&amp;E25&amp;"'!"&amp;"D10"))),DAY(INDIRECT("'"&amp;E25&amp;"'!"&amp;"D10"))),INDIRECT("'"&amp;E25&amp;"'!"&amp;"C:C"))):INDIRECT("'"&amp;E25&amp;"'!"&amp;"F"&amp;MATCH(DATE(2021,12,DAY(INDIRECT("'"&amp;E25&amp;"'!"&amp;"D10"))),INDIRECT("'"&amp;E25&amp;"'!"&amp;"C:C")))))</f>
        <v>-70011.199999999997</v>
      </c>
      <c r="J25" s="5" cm="1">
        <f t="array" aca="1" ref="J25" ca="1">IF(YEAR(INDIRECT("'"&amp;E25&amp;"'!"&amp;"D10"))&lt;2021=TRUE,SUM(INDIRECT("'"&amp;E25&amp;"'!"&amp;"G"&amp;MATCH(DATE(2021,1,DAY(INDIRECT("'"&amp;E25&amp;"'!"&amp;"D10"))),INDIRECT("'"&amp;E25&amp;"'!"&amp;"C:C"))):INDIRECT("'"&amp;E25&amp;"'!"&amp;"G"&amp;MATCH(DATE(2021,12,DAY(INDIRECT("'"&amp;E25&amp;"'!"&amp;"D10"))),INDIRECT("'"&amp;E25&amp;"'!"&amp;"C:C")))),SUM(INDIRECT("'"&amp;E25&amp;"'!"&amp;"G"&amp;MATCH(DATE(2021,MAX(1,MONTH(INDIRECT("'"&amp;E25&amp;"'!"&amp;"D10"))),DAY(INDIRECT("'"&amp;E25&amp;"'!"&amp;"D10"))),INDIRECT("'"&amp;E25&amp;"'!"&amp;"C:C"))):INDIRECT("'"&amp;E25&amp;"'!"&amp;"G"&amp;MATCH(DATE(2021,12,DAY(INDIRECT("'"&amp;E25&amp;"'!"&amp;"D10"))),INDIRECT("'"&amp;E25&amp;"'!"&amp;"C:C")))))</f>
        <v>6592.9195696984461</v>
      </c>
      <c r="K25" s="134" cm="1">
        <f t="array" aca="1" ref="K25" ca="1">IF(YEAR(INDIRECT("'"&amp;E25&amp;"'!"&amp;"D10"))&lt;2021=TRUE,SUM(INDIRECT("'"&amp;E25&amp;"'!"&amp;"L"&amp;MATCH(DATE(2021,1,DAY(INDIRECT("'"&amp;E25&amp;"'!"&amp;"D10"))),INDIRECT("'"&amp;E25&amp;"'!"&amp;"C:C"))):INDIRECT("'"&amp;E25&amp;"'!"&amp;"L"&amp;MATCH(DATE(2021,12,DAY(INDIRECT("'"&amp;E25&amp;"'!"&amp;"D10"))),INDIRECT("'"&amp;E25&amp;"'!"&amp;"C:C")))),SUM(INDIRECT("'"&amp;E25&amp;"'!"&amp;"L"&amp;MATCH(DATE(2021,MAX(1,MONTH(INDIRECT("'"&amp;E25&amp;"'!"&amp;"D10"))),DAY(INDIRECT("'"&amp;E25&amp;"'!"&amp;"D10"))),INDIRECT("'"&amp;E25&amp;"'!"&amp;"C:C"))):INDIRECT("'"&amp;E25&amp;"'!"&amp;"L"&amp;MATCH(DATE(2021,12,DAY(INDIRECT("'"&amp;E25&amp;"'!"&amp;"D10"))),INDIRECT("'"&amp;E25&amp;"'!"&amp;"C:C")))))</f>
        <v>-66615.007962641335</v>
      </c>
    </row>
    <row r="26" spans="5:11" x14ac:dyDescent="0.45">
      <c r="E26" s="138" t="s">
        <v>40</v>
      </c>
      <c r="F26" s="5" cm="1">
        <f t="array" aca="1" ref="F26" ca="1">IF(YEAR(INDIRECT("'"&amp;E26&amp;"'!"&amp;"D10"))&lt;2021=TRUE,INDEX(INDIRECT("'"&amp;E26&amp;"'!"&amp;"K:K"),MATCH(DATE(2021,1,DAY(INDIRECT("'"&amp;E26&amp;"'!"&amp;"D10"))),INDIRECT("'"&amp;E26&amp;"'!"&amp;"C:C"))),INDEX(INDIRECT("'"&amp;E26&amp;"'!"&amp;"K:K"),MATCH(DATE(2021,MAX(1,MONTH(INDIRECT("'"&amp;E26&amp;"'!"&amp;"D10"))),DAY(INDIRECT("'"&amp;E26&amp;"'!"&amp;"D10"))),INDIRECT("'"&amp;E26&amp;"'!"&amp;"C:C"))))</f>
        <v>761371.65645798971</v>
      </c>
      <c r="G26" s="5" cm="1">
        <f t="array" aca="1" ref="G26" ca="1">IF(YEAR(INDIRECT("'"&amp;E26&amp;"'!"&amp;"D10"))&lt;2021=TRUE,INDEX(INDIRECT("'"&amp;E26&amp;"'!"&amp;"E:E"),MATCH(DATE(2021,1,DAY(INDIRECT("'"&amp;E26&amp;"'!"&amp;"D10"))),INDIRECT("'"&amp;E26&amp;"'!"&amp;"C:C"))),INDEX(INDIRECT("'"&amp;E26&amp;"'!"&amp;"E:E"),MATCH(DATE(2021,MAX(1,MONTH(INDIRECT("'"&amp;E26&amp;"'!"&amp;"D10"))),DAY(INDIRECT("'"&amp;E26&amp;"'!"&amp;"D10"))),INDIRECT("'"&amp;E26&amp;"'!"&amp;"C:C"))))</f>
        <v>777691.37994167046</v>
      </c>
      <c r="H26" s="5" cm="1">
        <f t="array" aca="1" ref="H26" ca="1">IF(YEAR(INDIRECT("'"&amp;E26&amp;"'!"&amp;"D10"))&lt;2021=TRUE,SUM(INDIRECT("'"&amp;E26&amp;"'!"&amp;"F"&amp;MATCH(DATE(2021,1,DAY(INDIRECT("'"&amp;E26&amp;"'!"&amp;"D10"))),INDIRECT("'"&amp;E26&amp;"'!"&amp;"C:C"))):INDIRECT("'"&amp;E26&amp;"'!"&amp;"G"&amp;MATCH(DATE(2021,12,DAY(INDIRECT("'"&amp;E26&amp;"'!"&amp;"D10"))),INDIRECT("'"&amp;E26&amp;"'!"&amp;"C:C")))),SUM(INDIRECT("'"&amp;E26&amp;"'!"&amp;"F"&amp;MATCH(DATE(2021,MAX(1,MONTH(INDIRECT("'"&amp;E26&amp;"'!"&amp;"D10"))),DAY(INDIRECT("'"&amp;E26&amp;"'!"&amp;"D10"))),INDIRECT("'"&amp;E26&amp;"'!"&amp;"C:C"))):INDIRECT("'"&amp;E26&amp;"'!"&amp;"G"&amp;MATCH(DATE(2021,12,DAY(INDIRECT("'"&amp;E26&amp;"'!"&amp;"D10"))),INDIRECT("'"&amp;E26&amp;"'!"&amp;"C:C")))))</f>
        <v>-438654.34735403687</v>
      </c>
      <c r="I26" s="5" cm="1">
        <f t="array" aca="1" ref="I26" ca="1">IF(YEAR(INDIRECT("'"&amp;E26&amp;"'!"&amp;"D10"))&lt;2021=TRUE,SUM(INDIRECT("'"&amp;E26&amp;"'!"&amp;"F"&amp;MATCH(DATE(2021,1,DAY(INDIRECT("'"&amp;E26&amp;"'!"&amp;"D10"))),INDIRECT("'"&amp;E26&amp;"'!"&amp;"C:C"))):INDIRECT("'"&amp;E26&amp;"'!"&amp;"F"&amp;MATCH(DATE(2021,12,DAY(INDIRECT("'"&amp;E26&amp;"'!"&amp;"D10"))),INDIRECT("'"&amp;E26&amp;"'!"&amp;"C:C")))),SUM(INDIRECT("'"&amp;E26&amp;"'!"&amp;"F"&amp;MATCH(DATE(2021,MAX(1,MONTH(INDIRECT("'"&amp;E26&amp;"'!"&amp;"D10"))),DAY(INDIRECT("'"&amp;E26&amp;"'!"&amp;"D10"))),INDIRECT("'"&amp;E26&amp;"'!"&amp;"C:C"))):INDIRECT("'"&amp;E26&amp;"'!"&amp;"F"&amp;MATCH(DATE(2021,12,DAY(INDIRECT("'"&amp;E26&amp;"'!"&amp;"D10"))),INDIRECT("'"&amp;E26&amp;"'!"&amp;"C:C")))))</f>
        <v>-457250.40000000008</v>
      </c>
      <c r="J26" s="5" cm="1">
        <f t="array" aca="1" ref="J26" ca="1">IF(YEAR(INDIRECT("'"&amp;E26&amp;"'!"&amp;"D10"))&lt;2021=TRUE,SUM(INDIRECT("'"&amp;E26&amp;"'!"&amp;"G"&amp;MATCH(DATE(2021,1,DAY(INDIRECT("'"&amp;E26&amp;"'!"&amp;"D10"))),INDIRECT("'"&amp;E26&amp;"'!"&amp;"C:C"))):INDIRECT("'"&amp;E26&amp;"'!"&amp;"G"&amp;MATCH(DATE(2021,12,DAY(INDIRECT("'"&amp;E26&amp;"'!"&amp;"D10"))),INDIRECT("'"&amp;E26&amp;"'!"&amp;"C:C")))),SUM(INDIRECT("'"&amp;E26&amp;"'!"&amp;"G"&amp;MATCH(DATE(2021,MAX(1,MONTH(INDIRECT("'"&amp;E26&amp;"'!"&amp;"D10"))),DAY(INDIRECT("'"&amp;E26&amp;"'!"&amp;"D10"))),INDIRECT("'"&amp;E26&amp;"'!"&amp;"C:C"))):INDIRECT("'"&amp;E26&amp;"'!"&amp;"G"&amp;MATCH(DATE(2021,12,DAY(INDIRECT("'"&amp;E26&amp;"'!"&amp;"D10"))),INDIRECT("'"&amp;E26&amp;"'!"&amp;"C:C")))))</f>
        <v>18596.052645963169</v>
      </c>
      <c r="K26" s="134" cm="1">
        <f t="array" aca="1" ref="K26" ca="1">IF(YEAR(INDIRECT("'"&amp;E26&amp;"'!"&amp;"D10"))&lt;2021=TRUE,SUM(INDIRECT("'"&amp;E26&amp;"'!"&amp;"L"&amp;MATCH(DATE(2021,1,DAY(INDIRECT("'"&amp;E26&amp;"'!"&amp;"D10"))),INDIRECT("'"&amp;E26&amp;"'!"&amp;"C:C"))):INDIRECT("'"&amp;E26&amp;"'!"&amp;"L"&amp;MATCH(DATE(2021,12,DAY(INDIRECT("'"&amp;E26&amp;"'!"&amp;"D10"))),INDIRECT("'"&amp;E26&amp;"'!"&amp;"C:C")))),SUM(INDIRECT("'"&amp;E26&amp;"'!"&amp;"L"&amp;MATCH(DATE(2021,MAX(1,MONTH(INDIRECT("'"&amp;E26&amp;"'!"&amp;"D10"))),DAY(INDIRECT("'"&amp;E26&amp;"'!"&amp;"D10"))),INDIRECT("'"&amp;E26&amp;"'!"&amp;"C:C"))):INDIRECT("'"&amp;E26&amp;"'!"&amp;"L"&amp;MATCH(DATE(2021,12,DAY(INDIRECT("'"&amp;E26&amp;"'!"&amp;"D10"))),INDIRECT("'"&amp;E26&amp;"'!"&amp;"C:C")))))</f>
        <v>-435069.51797599415</v>
      </c>
    </row>
    <row r="27" spans="5:11" x14ac:dyDescent="0.45">
      <c r="E27" s="138" t="s">
        <v>41</v>
      </c>
      <c r="F27" s="5" cm="1">
        <f t="array" aca="1" ref="F27" ca="1">IF(YEAR(INDIRECT("'"&amp;E27&amp;"'!"&amp;"D10"))&lt;2021=TRUE,INDEX(INDIRECT("'"&amp;E27&amp;"'!"&amp;"K:K"),MATCH(DATE(2021,1,DAY(INDIRECT("'"&amp;E27&amp;"'!"&amp;"D10"))),INDIRECT("'"&amp;E27&amp;"'!"&amp;"C:C"))),INDEX(INDIRECT("'"&amp;E27&amp;"'!"&amp;"K:K"),MATCH(DATE(2021,MAX(1,MONTH(INDIRECT("'"&amp;E27&amp;"'!"&amp;"D10"))),DAY(INDIRECT("'"&amp;E27&amp;"'!"&amp;"D10"))),INDIRECT("'"&amp;E27&amp;"'!"&amp;"C:C"))))</f>
        <v>142174.34758663655</v>
      </c>
      <c r="G27" s="5" cm="1">
        <f t="array" aca="1" ref="G27" ca="1">IF(YEAR(INDIRECT("'"&amp;E27&amp;"'!"&amp;"D10"))&lt;2021=TRUE,INDEX(INDIRECT("'"&amp;E27&amp;"'!"&amp;"E:E"),MATCH(DATE(2021,1,DAY(INDIRECT("'"&amp;E27&amp;"'!"&amp;"D10"))),INDIRECT("'"&amp;E27&amp;"'!"&amp;"C:C"))),INDEX(INDIRECT("'"&amp;E27&amp;"'!"&amp;"E:E"),MATCH(DATE(2021,MAX(1,MONTH(INDIRECT("'"&amp;E27&amp;"'!"&amp;"D10"))),DAY(INDIRECT("'"&amp;E27&amp;"'!"&amp;"D10"))),INDIRECT("'"&amp;E27&amp;"'!"&amp;"C:C"))))</f>
        <v>142174.34758663655</v>
      </c>
      <c r="H27" s="5" cm="1">
        <f t="array" aca="1" ref="H27" ca="1">IF(YEAR(INDIRECT("'"&amp;E27&amp;"'!"&amp;"D10"))&lt;2021=TRUE,SUM(INDIRECT("'"&amp;E27&amp;"'!"&amp;"F"&amp;MATCH(DATE(2021,1,DAY(INDIRECT("'"&amp;E27&amp;"'!"&amp;"D10"))),INDIRECT("'"&amp;E27&amp;"'!"&amp;"C:C"))):INDIRECT("'"&amp;E27&amp;"'!"&amp;"G"&amp;MATCH(DATE(2021,12,DAY(INDIRECT("'"&amp;E27&amp;"'!"&amp;"D10"))),INDIRECT("'"&amp;E27&amp;"'!"&amp;"C:C")))),SUM(INDIRECT("'"&amp;E27&amp;"'!"&amp;"F"&amp;MATCH(DATE(2021,MAX(1,MONTH(INDIRECT("'"&amp;E27&amp;"'!"&amp;"D10"))),DAY(INDIRECT("'"&amp;E27&amp;"'!"&amp;"D10"))),INDIRECT("'"&amp;E27&amp;"'!"&amp;"C:C"))):INDIRECT("'"&amp;E27&amp;"'!"&amp;"G"&amp;MATCH(DATE(2021,12,DAY(INDIRECT("'"&amp;E27&amp;"'!"&amp;"D10"))),INDIRECT("'"&amp;E27&amp;"'!"&amp;"C:C")))))</f>
        <v>-25580.857947362783</v>
      </c>
      <c r="I27" s="5" cm="1">
        <f t="array" aca="1" ref="I27" ca="1">IF(YEAR(INDIRECT("'"&amp;E27&amp;"'!"&amp;"D10"))&lt;2021=TRUE,SUM(INDIRECT("'"&amp;E27&amp;"'!"&amp;"F"&amp;MATCH(DATE(2021,1,DAY(INDIRECT("'"&amp;E27&amp;"'!"&amp;"D10"))),INDIRECT("'"&amp;E27&amp;"'!"&amp;"C:C"))):INDIRECT("'"&amp;E27&amp;"'!"&amp;"F"&amp;MATCH(DATE(2021,12,DAY(INDIRECT("'"&amp;E27&amp;"'!"&amp;"D10"))),INDIRECT("'"&amp;E27&amp;"'!"&amp;"C:C")))),SUM(INDIRECT("'"&amp;E27&amp;"'!"&amp;"F"&amp;MATCH(DATE(2021,MAX(1,MONTH(INDIRECT("'"&amp;E27&amp;"'!"&amp;"D10"))),DAY(INDIRECT("'"&amp;E27&amp;"'!"&amp;"D10"))),INDIRECT("'"&amp;E27&amp;"'!"&amp;"C:C"))):INDIRECT("'"&amp;E27&amp;"'!"&amp;"F"&amp;MATCH(DATE(2021,12,DAY(INDIRECT("'"&amp;E27&amp;"'!"&amp;"D10"))),INDIRECT("'"&amp;E27&amp;"'!"&amp;"C:C")))))</f>
        <v>-27997.815999999999</v>
      </c>
      <c r="J27" s="5" cm="1">
        <f t="array" aca="1" ref="J27" ca="1">IF(YEAR(INDIRECT("'"&amp;E27&amp;"'!"&amp;"D10"))&lt;2021=TRUE,SUM(INDIRECT("'"&amp;E27&amp;"'!"&amp;"G"&amp;MATCH(DATE(2021,1,DAY(INDIRECT("'"&amp;E27&amp;"'!"&amp;"D10"))),INDIRECT("'"&amp;E27&amp;"'!"&amp;"C:C"))):INDIRECT("'"&amp;E27&amp;"'!"&amp;"G"&amp;MATCH(DATE(2021,12,DAY(INDIRECT("'"&amp;E27&amp;"'!"&amp;"D10"))),INDIRECT("'"&amp;E27&amp;"'!"&amp;"C:C")))),SUM(INDIRECT("'"&amp;E27&amp;"'!"&amp;"G"&amp;MATCH(DATE(2021,MAX(1,MONTH(INDIRECT("'"&amp;E27&amp;"'!"&amp;"D10"))),DAY(INDIRECT("'"&amp;E27&amp;"'!"&amp;"D10"))),INDIRECT("'"&amp;E27&amp;"'!"&amp;"C:C"))):INDIRECT("'"&amp;E27&amp;"'!"&amp;"G"&amp;MATCH(DATE(2021,12,DAY(INDIRECT("'"&amp;E27&amp;"'!"&amp;"D10"))),INDIRECT("'"&amp;E27&amp;"'!"&amp;"C:C")))))</f>
        <v>2416.9580526372156</v>
      </c>
      <c r="K27" s="134" cm="1">
        <f t="array" aca="1" ref="K27" ca="1">IF(YEAR(INDIRECT("'"&amp;E27&amp;"'!"&amp;"D10"))&lt;2021=TRUE,SUM(INDIRECT("'"&amp;E27&amp;"'!"&amp;"L"&amp;MATCH(DATE(2021,1,DAY(INDIRECT("'"&amp;E27&amp;"'!"&amp;"D10"))),INDIRECT("'"&amp;E27&amp;"'!"&amp;"C:C"))):INDIRECT("'"&amp;E27&amp;"'!"&amp;"L"&amp;MATCH(DATE(2021,12,DAY(INDIRECT("'"&amp;E27&amp;"'!"&amp;"D10"))),INDIRECT("'"&amp;E27&amp;"'!"&amp;"C:C")))),SUM(INDIRECT("'"&amp;E27&amp;"'!"&amp;"L"&amp;MATCH(DATE(2021,MAX(1,MONTH(INDIRECT("'"&amp;E27&amp;"'!"&amp;"D10"))),DAY(INDIRECT("'"&amp;E27&amp;"'!"&amp;"D10"))),INDIRECT("'"&amp;E27&amp;"'!"&amp;"C:C"))):INDIRECT("'"&amp;E27&amp;"'!"&amp;"L"&amp;MATCH(DATE(2021,12,DAY(INDIRECT("'"&amp;E27&amp;"'!"&amp;"D10"))),INDIRECT("'"&amp;E27&amp;"'!"&amp;"C:C")))))</f>
        <v>-31594.299463697011</v>
      </c>
    </row>
    <row r="28" spans="5:11" x14ac:dyDescent="0.45">
      <c r="E28" s="138" t="s">
        <v>42</v>
      </c>
      <c r="F28" s="5" cm="1">
        <f t="array" aca="1" ref="F28" ca="1">IF(YEAR(INDIRECT("'"&amp;E28&amp;"'!"&amp;"D10"))&lt;2021=TRUE,INDEX(INDIRECT("'"&amp;E28&amp;"'!"&amp;"K:K"),MATCH(DATE(2021,1,DAY(INDIRECT("'"&amp;E28&amp;"'!"&amp;"D10"))),INDIRECT("'"&amp;E28&amp;"'!"&amp;"C:C"))),INDEX(INDIRECT("'"&amp;E28&amp;"'!"&amp;"K:K"),MATCH(DATE(2021,MAX(1,MONTH(INDIRECT("'"&amp;E28&amp;"'!"&amp;"D10"))),DAY(INDIRECT("'"&amp;E28&amp;"'!"&amp;"D10"))),INDIRECT("'"&amp;E28&amp;"'!"&amp;"C:C"))))</f>
        <v>273694.89853015589</v>
      </c>
      <c r="G28" s="5" cm="1">
        <f t="array" aca="1" ref="G28" ca="1">IF(YEAR(INDIRECT("'"&amp;E28&amp;"'!"&amp;"D10"))&lt;2021=TRUE,INDEX(INDIRECT("'"&amp;E28&amp;"'!"&amp;"E:E"),MATCH(DATE(2021,1,DAY(INDIRECT("'"&amp;E28&amp;"'!"&amp;"D10"))),INDIRECT("'"&amp;E28&amp;"'!"&amp;"C:C"))),INDEX(INDIRECT("'"&amp;E28&amp;"'!"&amp;"E:E"),MATCH(DATE(2021,MAX(1,MONTH(INDIRECT("'"&amp;E28&amp;"'!"&amp;"D10"))),DAY(INDIRECT("'"&amp;E28&amp;"'!"&amp;"D10"))),INDIRECT("'"&amp;E28&amp;"'!"&amp;"C:C"))))</f>
        <v>273694.89853015589</v>
      </c>
      <c r="H28" s="5" cm="1">
        <f t="array" aca="1" ref="H28" ca="1">IF(YEAR(INDIRECT("'"&amp;E28&amp;"'!"&amp;"D10"))&lt;2021=TRUE,SUM(INDIRECT("'"&amp;E28&amp;"'!"&amp;"F"&amp;MATCH(DATE(2021,1,DAY(INDIRECT("'"&amp;E28&amp;"'!"&amp;"D10"))),INDIRECT("'"&amp;E28&amp;"'!"&amp;"C:C"))):INDIRECT("'"&amp;E28&amp;"'!"&amp;"G"&amp;MATCH(DATE(2021,12,DAY(INDIRECT("'"&amp;E28&amp;"'!"&amp;"D10"))),INDIRECT("'"&amp;E28&amp;"'!"&amp;"C:C")))),SUM(INDIRECT("'"&amp;E28&amp;"'!"&amp;"F"&amp;MATCH(DATE(2021,MAX(1,MONTH(INDIRECT("'"&amp;E28&amp;"'!"&amp;"D10"))),DAY(INDIRECT("'"&amp;E28&amp;"'!"&amp;"D10"))),INDIRECT("'"&amp;E28&amp;"'!"&amp;"C:C"))):INDIRECT("'"&amp;E28&amp;"'!"&amp;"G"&amp;MATCH(DATE(2021,12,DAY(INDIRECT("'"&amp;E28&amp;"'!"&amp;"D10"))),INDIRECT("'"&amp;E28&amp;"'!"&amp;"C:C")))))</f>
        <v>-35252.450718529057</v>
      </c>
      <c r="I28" s="5" cm="1">
        <f t="array" aca="1" ref="I28" ca="1">IF(YEAR(INDIRECT("'"&amp;E28&amp;"'!"&amp;"D10"))&lt;2021=TRUE,SUM(INDIRECT("'"&amp;E28&amp;"'!"&amp;"F"&amp;MATCH(DATE(2021,1,DAY(INDIRECT("'"&amp;E28&amp;"'!"&amp;"D10"))),INDIRECT("'"&amp;E28&amp;"'!"&amp;"C:C"))):INDIRECT("'"&amp;E28&amp;"'!"&amp;"F"&amp;MATCH(DATE(2021,12,DAY(INDIRECT("'"&amp;E28&amp;"'!"&amp;"D10"))),INDIRECT("'"&amp;E28&amp;"'!"&amp;"C:C")))),SUM(INDIRECT("'"&amp;E28&amp;"'!"&amp;"F"&amp;MATCH(DATE(2021,MAX(1,MONTH(INDIRECT("'"&amp;E28&amp;"'!"&amp;"D10"))),DAY(INDIRECT("'"&amp;E28&amp;"'!"&amp;"D10"))),INDIRECT("'"&amp;E28&amp;"'!"&amp;"C:C"))):INDIRECT("'"&amp;E28&amp;"'!"&amp;"F"&amp;MATCH(DATE(2021,12,DAY(INDIRECT("'"&amp;E28&amp;"'!"&amp;"D10"))),INDIRECT("'"&amp;E28&amp;"'!"&amp;"C:C")))))</f>
        <v>-38750</v>
      </c>
      <c r="J28" s="5" cm="1">
        <f t="array" aca="1" ref="J28" ca="1">IF(YEAR(INDIRECT("'"&amp;E28&amp;"'!"&amp;"D10"))&lt;2021=TRUE,SUM(INDIRECT("'"&amp;E28&amp;"'!"&amp;"G"&amp;MATCH(DATE(2021,1,DAY(INDIRECT("'"&amp;E28&amp;"'!"&amp;"D10"))),INDIRECT("'"&amp;E28&amp;"'!"&amp;"C:C"))):INDIRECT("'"&amp;E28&amp;"'!"&amp;"G"&amp;MATCH(DATE(2021,12,DAY(INDIRECT("'"&amp;E28&amp;"'!"&amp;"D10"))),INDIRECT("'"&amp;E28&amp;"'!"&amp;"C:C")))),SUM(INDIRECT("'"&amp;E28&amp;"'!"&amp;"G"&amp;MATCH(DATE(2021,MAX(1,MONTH(INDIRECT("'"&amp;E28&amp;"'!"&amp;"D10"))),DAY(INDIRECT("'"&amp;E28&amp;"'!"&amp;"D10"))),INDIRECT("'"&amp;E28&amp;"'!"&amp;"C:C"))):INDIRECT("'"&amp;E28&amp;"'!"&amp;"G"&amp;MATCH(DATE(2021,12,DAY(INDIRECT("'"&amp;E28&amp;"'!"&amp;"D10"))),INDIRECT("'"&amp;E28&amp;"'!"&amp;"C:C")))))</f>
        <v>3497.5492814709405</v>
      </c>
      <c r="K28" s="134" cm="1">
        <f t="array" aca="1" ref="K28" ca="1">IF(YEAR(INDIRECT("'"&amp;E28&amp;"'!"&amp;"D10"))&lt;2021=TRUE,SUM(INDIRECT("'"&amp;E28&amp;"'!"&amp;"L"&amp;MATCH(DATE(2021,1,DAY(INDIRECT("'"&amp;E28&amp;"'!"&amp;"D10"))),INDIRECT("'"&amp;E28&amp;"'!"&amp;"C:C"))):INDIRECT("'"&amp;E28&amp;"'!"&amp;"L"&amp;MATCH(DATE(2021,12,DAY(INDIRECT("'"&amp;E28&amp;"'!"&amp;"D10"))),INDIRECT("'"&amp;E28&amp;"'!"&amp;"C:C")))),SUM(INDIRECT("'"&amp;E28&amp;"'!"&amp;"L"&amp;MATCH(DATE(2021,MAX(1,MONTH(INDIRECT("'"&amp;E28&amp;"'!"&amp;"D10"))),DAY(INDIRECT("'"&amp;E28&amp;"'!"&amp;"D10"))),INDIRECT("'"&amp;E28&amp;"'!"&amp;"C:C"))):INDIRECT("'"&amp;E28&amp;"'!"&amp;"L"&amp;MATCH(DATE(2021,12,DAY(INDIRECT("'"&amp;E28&amp;"'!"&amp;"D10"))),INDIRECT("'"&amp;E28&amp;"'!"&amp;"C:C")))))</f>
        <v>-38013.180351410541</v>
      </c>
    </row>
    <row r="29" spans="5:11" x14ac:dyDescent="0.45">
      <c r="E29" s="138" t="s">
        <v>43</v>
      </c>
      <c r="F29" s="5" cm="1">
        <f t="array" aca="1" ref="F29" ca="1">IF(YEAR(INDIRECT("'"&amp;E29&amp;"'!"&amp;"D10"))&lt;2021=TRUE,INDEX(INDIRECT("'"&amp;E29&amp;"'!"&amp;"K:K"),MATCH(DATE(2021,1,DAY(INDIRECT("'"&amp;E29&amp;"'!"&amp;"D10"))),INDIRECT("'"&amp;E29&amp;"'!"&amp;"C:C"))),INDEX(INDIRECT("'"&amp;E29&amp;"'!"&amp;"K:K"),MATCH(DATE(2021,MAX(1,MONTH(INDIRECT("'"&amp;E29&amp;"'!"&amp;"D10"))),DAY(INDIRECT("'"&amp;E29&amp;"'!"&amp;"D10"))),INDIRECT("'"&amp;E29&amp;"'!"&amp;"C:C"))))</f>
        <v>309824.41227682529</v>
      </c>
      <c r="G29" s="5" cm="1">
        <f t="array" aca="1" ref="G29" ca="1">IF(YEAR(INDIRECT("'"&amp;E29&amp;"'!"&amp;"D10"))&lt;2021=TRUE,INDEX(INDIRECT("'"&amp;E29&amp;"'!"&amp;"E:E"),MATCH(DATE(2021,1,DAY(INDIRECT("'"&amp;E29&amp;"'!"&amp;"D10"))),INDIRECT("'"&amp;E29&amp;"'!"&amp;"C:C"))),INDEX(INDIRECT("'"&amp;E29&amp;"'!"&amp;"E:E"),MATCH(DATE(2021,MAX(1,MONTH(INDIRECT("'"&amp;E29&amp;"'!"&amp;"D10"))),DAY(INDIRECT("'"&amp;E29&amp;"'!"&amp;"D10"))),INDIRECT("'"&amp;E29&amp;"'!"&amp;"C:C"))))</f>
        <v>309824.41227682529</v>
      </c>
      <c r="H29" s="5" cm="1">
        <f t="array" aca="1" ref="H29" ca="1">IF(YEAR(INDIRECT("'"&amp;E29&amp;"'!"&amp;"D10"))&lt;2021=TRUE,SUM(INDIRECT("'"&amp;E29&amp;"'!"&amp;"F"&amp;MATCH(DATE(2021,1,DAY(INDIRECT("'"&amp;E29&amp;"'!"&amp;"D10"))),INDIRECT("'"&amp;E29&amp;"'!"&amp;"C:C"))):INDIRECT("'"&amp;E29&amp;"'!"&amp;"G"&amp;MATCH(DATE(2021,12,DAY(INDIRECT("'"&amp;E29&amp;"'!"&amp;"D10"))),INDIRECT("'"&amp;E29&amp;"'!"&amp;"C:C")))),SUM(INDIRECT("'"&amp;E29&amp;"'!"&amp;"F"&amp;MATCH(DATE(2021,MAX(1,MONTH(INDIRECT("'"&amp;E29&amp;"'!"&amp;"D10"))),DAY(INDIRECT("'"&amp;E29&amp;"'!"&amp;"D10"))),INDIRECT("'"&amp;E29&amp;"'!"&amp;"C:C"))):INDIRECT("'"&amp;E29&amp;"'!"&amp;"G"&amp;MATCH(DATE(2021,12,DAY(INDIRECT("'"&amp;E29&amp;"'!"&amp;"D10"))),INDIRECT("'"&amp;E29&amp;"'!"&amp;"C:C")))))</f>
        <v>-99743.068282828273</v>
      </c>
      <c r="I29" s="5" cm="1">
        <f t="array" aca="1" ref="I29" ca="1">IF(YEAR(INDIRECT("'"&amp;E29&amp;"'!"&amp;"D10"))&lt;2021=TRUE,SUM(INDIRECT("'"&amp;E29&amp;"'!"&amp;"F"&amp;MATCH(DATE(2021,1,DAY(INDIRECT("'"&amp;E29&amp;"'!"&amp;"D10"))),INDIRECT("'"&amp;E29&amp;"'!"&amp;"C:C"))):INDIRECT("'"&amp;E29&amp;"'!"&amp;"F"&amp;MATCH(DATE(2021,12,DAY(INDIRECT("'"&amp;E29&amp;"'!"&amp;"D10"))),INDIRECT("'"&amp;E29&amp;"'!"&amp;"C:C")))),SUM(INDIRECT("'"&amp;E29&amp;"'!"&amp;"F"&amp;MATCH(DATE(2021,MAX(1,MONTH(INDIRECT("'"&amp;E29&amp;"'!"&amp;"D10"))),DAY(INDIRECT("'"&amp;E29&amp;"'!"&amp;"D10"))),INDIRECT("'"&amp;E29&amp;"'!"&amp;"C:C"))):INDIRECT("'"&amp;E29&amp;"'!"&amp;"F"&amp;MATCH(DATE(2021,12,DAY(INDIRECT("'"&amp;E29&amp;"'!"&amp;"D10"))),INDIRECT("'"&amp;E29&amp;"'!"&amp;"C:C")))))</f>
        <v>-108540</v>
      </c>
      <c r="J29" s="5" cm="1">
        <f t="array" aca="1" ref="J29" ca="1">IF(YEAR(INDIRECT("'"&amp;E29&amp;"'!"&amp;"D10"))&lt;2021=TRUE,SUM(INDIRECT("'"&amp;E29&amp;"'!"&amp;"G"&amp;MATCH(DATE(2021,1,DAY(INDIRECT("'"&amp;E29&amp;"'!"&amp;"D10"))),INDIRECT("'"&amp;E29&amp;"'!"&amp;"C:C"))):INDIRECT("'"&amp;E29&amp;"'!"&amp;"G"&amp;MATCH(DATE(2021,12,DAY(INDIRECT("'"&amp;E29&amp;"'!"&amp;"D10"))),INDIRECT("'"&amp;E29&amp;"'!"&amp;"C:C")))),SUM(INDIRECT("'"&amp;E29&amp;"'!"&amp;"G"&amp;MATCH(DATE(2021,MAX(1,MONTH(INDIRECT("'"&amp;E29&amp;"'!"&amp;"D10"))),DAY(INDIRECT("'"&amp;E29&amp;"'!"&amp;"D10"))),INDIRECT("'"&amp;E29&amp;"'!"&amp;"C:C"))):INDIRECT("'"&amp;E29&amp;"'!"&amp;"G"&amp;MATCH(DATE(2021,12,DAY(INDIRECT("'"&amp;E29&amp;"'!"&amp;"D10"))),INDIRECT("'"&amp;E29&amp;"'!"&amp;"C:C")))))</f>
        <v>8796.9317171717157</v>
      </c>
      <c r="K29" s="134" cm="1">
        <f t="array" aca="1" ref="K29" ca="1">IF(YEAR(INDIRECT("'"&amp;E29&amp;"'!"&amp;"D10"))&lt;2021=TRUE,SUM(INDIRECT("'"&amp;E29&amp;"'!"&amp;"L"&amp;MATCH(DATE(2021,1,DAY(INDIRECT("'"&amp;E29&amp;"'!"&amp;"D10"))),INDIRECT("'"&amp;E29&amp;"'!"&amp;"C:C"))):INDIRECT("'"&amp;E29&amp;"'!"&amp;"L"&amp;MATCH(DATE(2021,12,DAY(INDIRECT("'"&amp;E29&amp;"'!"&amp;"D10"))),INDIRECT("'"&amp;E29&amp;"'!"&amp;"C:C")))),SUM(INDIRECT("'"&amp;E29&amp;"'!"&amp;"L"&amp;MATCH(DATE(2021,MAX(1,MONTH(INDIRECT("'"&amp;E29&amp;"'!"&amp;"D10"))),DAY(INDIRECT("'"&amp;E29&amp;"'!"&amp;"D10"))),INDIRECT("'"&amp;E29&amp;"'!"&amp;"C:C"))):INDIRECT("'"&amp;E29&amp;"'!"&amp;"L"&amp;MATCH(DATE(2021,12,DAY(INDIRECT("'"&amp;E29&amp;"'!"&amp;"D10"))),INDIRECT("'"&amp;E29&amp;"'!"&amp;"C:C")))))</f>
        <v>-103274.80409227511</v>
      </c>
    </row>
    <row r="30" spans="5:11" x14ac:dyDescent="0.45">
      <c r="E30" s="138" t="s">
        <v>44</v>
      </c>
      <c r="F30" s="5" cm="1">
        <f t="array" aca="1" ref="F30" ca="1">IF(YEAR(INDIRECT("'"&amp;E30&amp;"'!"&amp;"D10"))&lt;2021=TRUE,INDEX(INDIRECT("'"&amp;E30&amp;"'!"&amp;"K:K"),MATCH(DATE(2021,1,DAY(INDIRECT("'"&amp;E30&amp;"'!"&amp;"D10"))),INDIRECT("'"&amp;E30&amp;"'!"&amp;"C:C"))),INDEX(INDIRECT("'"&amp;E30&amp;"'!"&amp;"K:K"),MATCH(DATE(2021,MAX(1,MONTH(INDIRECT("'"&amp;E30&amp;"'!"&amp;"D10"))),DAY(INDIRECT("'"&amp;E30&amp;"'!"&amp;"D10"))),INDIRECT("'"&amp;E30&amp;"'!"&amp;"C:C"))))</f>
        <v>59373.02170036819</v>
      </c>
      <c r="G30" s="5" cm="1">
        <f t="array" aca="1" ref="G30" ca="1">IF(YEAR(INDIRECT("'"&amp;E30&amp;"'!"&amp;"D10"))&lt;2021=TRUE,INDEX(INDIRECT("'"&amp;E30&amp;"'!"&amp;"E:E"),MATCH(DATE(2021,1,DAY(INDIRECT("'"&amp;E30&amp;"'!"&amp;"D10"))),INDIRECT("'"&amp;E30&amp;"'!"&amp;"C:C"))),INDEX(INDIRECT("'"&amp;E30&amp;"'!"&amp;"E:E"),MATCH(DATE(2021,MAX(1,MONTH(INDIRECT("'"&amp;E30&amp;"'!"&amp;"D10"))),DAY(INDIRECT("'"&amp;E30&amp;"'!"&amp;"D10"))),INDIRECT("'"&amp;E30&amp;"'!"&amp;"C:C"))))</f>
        <v>60217.414586896586</v>
      </c>
      <c r="H30" s="5" cm="1">
        <f t="array" aca="1" ref="H30" ca="1">IF(YEAR(INDIRECT("'"&amp;E30&amp;"'!"&amp;"D10"))&lt;2021=TRUE,SUM(INDIRECT("'"&amp;E30&amp;"'!"&amp;"F"&amp;MATCH(DATE(2021,1,DAY(INDIRECT("'"&amp;E30&amp;"'!"&amp;"D10"))),INDIRECT("'"&amp;E30&amp;"'!"&amp;"C:C"))):INDIRECT("'"&amp;E30&amp;"'!"&amp;"G"&amp;MATCH(DATE(2021,12,DAY(INDIRECT("'"&amp;E30&amp;"'!"&amp;"D10"))),INDIRECT("'"&amp;E30&amp;"'!"&amp;"C:C")))),SUM(INDIRECT("'"&amp;E30&amp;"'!"&amp;"F"&amp;MATCH(DATE(2021,MAX(1,MONTH(INDIRECT("'"&amp;E30&amp;"'!"&amp;"D10"))),DAY(INDIRECT("'"&amp;E30&amp;"'!"&amp;"D10"))),INDIRECT("'"&amp;E30&amp;"'!"&amp;"C:C"))):INDIRECT("'"&amp;E30&amp;"'!"&amp;"G"&amp;MATCH(DATE(2021,12,DAY(INDIRECT("'"&amp;E30&amp;"'!"&amp;"D10"))),INDIRECT("'"&amp;E30&amp;"'!"&amp;"C:C")))))</f>
        <v>-27235.520894106634</v>
      </c>
      <c r="I30" s="5" cm="1">
        <f t="array" aca="1" ref="I30" ca="1">IF(YEAR(INDIRECT("'"&amp;E30&amp;"'!"&amp;"D10"))&lt;2021=TRUE,SUM(INDIRECT("'"&amp;E30&amp;"'!"&amp;"F"&amp;MATCH(DATE(2021,1,DAY(INDIRECT("'"&amp;E30&amp;"'!"&amp;"D10"))),INDIRECT("'"&amp;E30&amp;"'!"&amp;"C:C"))):INDIRECT("'"&amp;E30&amp;"'!"&amp;"F"&amp;MATCH(DATE(2021,12,DAY(INDIRECT("'"&amp;E30&amp;"'!"&amp;"D10"))),INDIRECT("'"&amp;E30&amp;"'!"&amp;"C:C")))),SUM(INDIRECT("'"&amp;E30&amp;"'!"&amp;"F"&amp;MATCH(DATE(2021,MAX(1,MONTH(INDIRECT("'"&amp;E30&amp;"'!"&amp;"D10"))),DAY(INDIRECT("'"&amp;E30&amp;"'!"&amp;"D10"))),INDIRECT("'"&amp;E30&amp;"'!"&amp;"C:C"))):INDIRECT("'"&amp;E30&amp;"'!"&amp;"F"&amp;MATCH(DATE(2021,12,DAY(INDIRECT("'"&amp;E30&amp;"'!"&amp;"D10"))),INDIRECT("'"&amp;E30&amp;"'!"&amp;"C:C")))))</f>
        <v>-28800</v>
      </c>
      <c r="J30" s="5" cm="1">
        <f t="array" aca="1" ref="J30" ca="1">IF(YEAR(INDIRECT("'"&amp;E30&amp;"'!"&amp;"D10"))&lt;2021=TRUE,SUM(INDIRECT("'"&amp;E30&amp;"'!"&amp;"G"&amp;MATCH(DATE(2021,1,DAY(INDIRECT("'"&amp;E30&amp;"'!"&amp;"D10"))),INDIRECT("'"&amp;E30&amp;"'!"&amp;"C:C"))):INDIRECT("'"&amp;E30&amp;"'!"&amp;"G"&amp;MATCH(DATE(2021,12,DAY(INDIRECT("'"&amp;E30&amp;"'!"&amp;"D10"))),INDIRECT("'"&amp;E30&amp;"'!"&amp;"C:C")))),SUM(INDIRECT("'"&amp;E30&amp;"'!"&amp;"G"&amp;MATCH(DATE(2021,MAX(1,MONTH(INDIRECT("'"&amp;E30&amp;"'!"&amp;"D10"))),DAY(INDIRECT("'"&amp;E30&amp;"'!"&amp;"D10"))),INDIRECT("'"&amp;E30&amp;"'!"&amp;"C:C"))):INDIRECT("'"&amp;E30&amp;"'!"&amp;"G"&amp;MATCH(DATE(2021,12,DAY(INDIRECT("'"&amp;E30&amp;"'!"&amp;"D10"))),INDIRECT("'"&amp;E30&amp;"'!"&amp;"C:C")))))</f>
        <v>1564.479105893372</v>
      </c>
      <c r="K30" s="134" cm="1">
        <f t="array" aca="1" ref="K30" ca="1">IF(YEAR(INDIRECT("'"&amp;E30&amp;"'!"&amp;"D10"))&lt;2021=TRUE,SUM(INDIRECT("'"&amp;E30&amp;"'!"&amp;"L"&amp;MATCH(DATE(2021,1,DAY(INDIRECT("'"&amp;E30&amp;"'!"&amp;"D10"))),INDIRECT("'"&amp;E30&amp;"'!"&amp;"C:C"))):INDIRECT("'"&amp;E30&amp;"'!"&amp;"L"&amp;MATCH(DATE(2021,12,DAY(INDIRECT("'"&amp;E30&amp;"'!"&amp;"D10"))),INDIRECT("'"&amp;E30&amp;"'!"&amp;"C:C")))),SUM(INDIRECT("'"&amp;E30&amp;"'!"&amp;"L"&amp;MATCH(DATE(2021,MAX(1,MONTH(INDIRECT("'"&amp;E30&amp;"'!"&amp;"D10"))),DAY(INDIRECT("'"&amp;E30&amp;"'!"&amp;"D10"))),INDIRECT("'"&amp;E30&amp;"'!"&amp;"C:C"))):INDIRECT("'"&amp;E30&amp;"'!"&amp;"L"&amp;MATCH(DATE(2021,12,DAY(INDIRECT("'"&amp;E30&amp;"'!"&amp;"D10"))),INDIRECT("'"&amp;E30&amp;"'!"&amp;"C:C")))))</f>
        <v>-27402.933092477633</v>
      </c>
    </row>
    <row r="31" spans="5:11" x14ac:dyDescent="0.45">
      <c r="E31" s="138"/>
    </row>
  </sheetData>
  <sheetProtection algorithmName="SHA-512" hashValue="ygBu8jmTXmQa+MiicneDNaL7azaU04p3hfTIqDK/1gLlPLoyiNuzZwCCYaA+8y1vkJvNW/RpcJMg9ONgIl8NZQ==" saltValue="3Sm0SQ7vkx5gkOyZZ4Qicw==" spinCount="100000" sheet="1" objects="1" scenarios="1" selectLockedCells="1" selectUnlockedCell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16552-D3E5-4660-A9D0-E53C264A30CA}">
  <dimension ref="A1:I58"/>
  <sheetViews>
    <sheetView workbookViewId="0">
      <pane ySplit="1" topLeftCell="A2" activePane="bottomLeft" state="frozen"/>
      <selection pane="bottomLeft" activeCell="J2" sqref="J2"/>
    </sheetView>
  </sheetViews>
  <sheetFormatPr defaultRowHeight="14.25" x14ac:dyDescent="0.45"/>
  <cols>
    <col min="1" max="1" width="8.73046875" style="4"/>
    <col min="2" max="2" width="11.59765625" style="138" bestFit="1" customWidth="1"/>
    <col min="3" max="3" width="20.3984375" style="142" bestFit="1" customWidth="1"/>
    <col min="4" max="4" width="28" style="142" customWidth="1"/>
    <col min="5" max="5" width="28.3984375" style="138" customWidth="1"/>
    <col min="6" max="6" width="14.265625" style="2" customWidth="1"/>
    <col min="7" max="7" width="15.59765625" style="2" customWidth="1"/>
    <col min="8" max="8" width="12.3984375" style="5" customWidth="1"/>
    <col min="9" max="9" width="29.59765625" style="4" bestFit="1" customWidth="1"/>
  </cols>
  <sheetData>
    <row r="1" spans="1:9" x14ac:dyDescent="0.45">
      <c r="A1" s="95" t="s">
        <v>45</v>
      </c>
      <c r="B1" s="139" t="s">
        <v>46</v>
      </c>
      <c r="C1" s="140" t="s">
        <v>47</v>
      </c>
      <c r="D1" s="140" t="s">
        <v>48</v>
      </c>
      <c r="E1" s="140" t="s">
        <v>49</v>
      </c>
      <c r="F1" s="6" t="s">
        <v>50</v>
      </c>
      <c r="G1" s="6" t="s">
        <v>51</v>
      </c>
      <c r="H1" s="96" t="s">
        <v>52</v>
      </c>
      <c r="I1" s="97" t="s">
        <v>53</v>
      </c>
    </row>
    <row r="2" spans="1:9" ht="28.5" x14ac:dyDescent="0.45">
      <c r="A2" s="4">
        <v>1</v>
      </c>
      <c r="B2" s="141" t="s">
        <v>54</v>
      </c>
      <c r="C2" s="142" t="s">
        <v>55</v>
      </c>
      <c r="D2" s="142" t="s">
        <v>56</v>
      </c>
      <c r="E2" s="143" t="s">
        <v>57</v>
      </c>
      <c r="F2" s="1">
        <v>44470</v>
      </c>
      <c r="G2" s="1">
        <v>45565</v>
      </c>
      <c r="H2" s="5">
        <v>20120</v>
      </c>
      <c r="I2" s="4" t="s">
        <v>58</v>
      </c>
    </row>
    <row r="3" spans="1:9" ht="28.5" x14ac:dyDescent="0.45">
      <c r="A3" s="98">
        <v>2</v>
      </c>
      <c r="B3" s="141" t="s">
        <v>59</v>
      </c>
      <c r="C3" s="142" t="s">
        <v>55</v>
      </c>
      <c r="D3" s="142" t="s">
        <v>60</v>
      </c>
      <c r="E3" s="143" t="s">
        <v>61</v>
      </c>
      <c r="F3" s="99">
        <v>43388</v>
      </c>
      <c r="G3" s="99">
        <v>44483</v>
      </c>
      <c r="H3" s="100" t="s">
        <v>62</v>
      </c>
      <c r="I3" s="98"/>
    </row>
    <row r="4" spans="1:9" ht="28.5" x14ac:dyDescent="0.45">
      <c r="A4" s="4">
        <v>3</v>
      </c>
      <c r="B4" s="141" t="s">
        <v>63</v>
      </c>
      <c r="C4" s="142" t="s">
        <v>55</v>
      </c>
      <c r="D4" s="142" t="s">
        <v>64</v>
      </c>
      <c r="E4" s="143" t="s">
        <v>65</v>
      </c>
      <c r="F4" s="1">
        <v>44492</v>
      </c>
      <c r="G4" s="1">
        <v>45587</v>
      </c>
      <c r="H4" s="5">
        <v>16567.32</v>
      </c>
      <c r="I4" s="4" t="s">
        <v>58</v>
      </c>
    </row>
    <row r="5" spans="1:9" ht="42.75" x14ac:dyDescent="0.45">
      <c r="A5" s="4">
        <v>4</v>
      </c>
      <c r="B5" s="141" t="s">
        <v>66</v>
      </c>
      <c r="C5" s="142" t="s">
        <v>67</v>
      </c>
      <c r="D5" s="142" t="s">
        <v>257</v>
      </c>
      <c r="E5" s="143" t="s">
        <v>68</v>
      </c>
      <c r="F5" s="1">
        <v>44501</v>
      </c>
      <c r="G5" s="1">
        <v>44865</v>
      </c>
      <c r="H5" s="5">
        <v>19730.2</v>
      </c>
      <c r="I5" s="4" t="s">
        <v>58</v>
      </c>
    </row>
    <row r="6" spans="1:9" ht="28.5" x14ac:dyDescent="0.45">
      <c r="A6" s="4">
        <v>5</v>
      </c>
      <c r="B6" s="141" t="s">
        <v>69</v>
      </c>
      <c r="C6" s="142" t="s">
        <v>55</v>
      </c>
      <c r="D6" s="142" t="s">
        <v>70</v>
      </c>
      <c r="E6" s="143" t="s">
        <v>71</v>
      </c>
      <c r="F6" s="1">
        <v>44212</v>
      </c>
      <c r="G6" s="1">
        <v>44576</v>
      </c>
      <c r="H6" s="5">
        <v>9674.4</v>
      </c>
      <c r="I6" s="4" t="s">
        <v>58</v>
      </c>
    </row>
    <row r="7" spans="1:9" ht="42.75" x14ac:dyDescent="0.45">
      <c r="A7" s="98">
        <v>6</v>
      </c>
      <c r="B7" s="141" t="s">
        <v>72</v>
      </c>
      <c r="C7" s="142" t="s">
        <v>55</v>
      </c>
      <c r="D7" s="142" t="s">
        <v>73</v>
      </c>
      <c r="E7" s="143" t="s">
        <v>74</v>
      </c>
      <c r="F7" s="99">
        <v>44013</v>
      </c>
      <c r="G7" s="99">
        <v>44651</v>
      </c>
      <c r="H7" s="101" t="s">
        <v>75</v>
      </c>
      <c r="I7" s="98"/>
    </row>
    <row r="8" spans="1:9" ht="28.5" x14ac:dyDescent="0.45">
      <c r="A8" s="98">
        <v>7</v>
      </c>
      <c r="B8" s="141" t="s">
        <v>76</v>
      </c>
      <c r="C8" s="142" t="s">
        <v>77</v>
      </c>
      <c r="D8" s="142" t="s">
        <v>78</v>
      </c>
      <c r="E8" s="143" t="s">
        <v>79</v>
      </c>
      <c r="F8" s="99">
        <v>43566</v>
      </c>
      <c r="G8" s="99">
        <v>44661</v>
      </c>
      <c r="H8" s="100" t="s">
        <v>62</v>
      </c>
      <c r="I8" s="98"/>
    </row>
    <row r="9" spans="1:9" ht="28.5" x14ac:dyDescent="0.45">
      <c r="A9" s="4">
        <v>8</v>
      </c>
      <c r="B9" s="141" t="s">
        <v>80</v>
      </c>
      <c r="C9" s="142" t="s">
        <v>55</v>
      </c>
      <c r="D9" s="142" t="s">
        <v>81</v>
      </c>
      <c r="E9" s="143" t="s">
        <v>82</v>
      </c>
      <c r="F9" s="1">
        <v>43631</v>
      </c>
      <c r="G9" s="1">
        <v>44726</v>
      </c>
      <c r="H9" s="5">
        <v>27478.49</v>
      </c>
      <c r="I9" s="4" t="s">
        <v>83</v>
      </c>
    </row>
    <row r="10" spans="1:9" ht="28.5" x14ac:dyDescent="0.45">
      <c r="A10" s="4">
        <v>9</v>
      </c>
      <c r="B10" s="141" t="s">
        <v>84</v>
      </c>
      <c r="C10" s="142" t="s">
        <v>55</v>
      </c>
      <c r="D10" s="142" t="s">
        <v>85</v>
      </c>
      <c r="E10" s="143" t="s">
        <v>86</v>
      </c>
      <c r="F10" s="1">
        <v>43678</v>
      </c>
      <c r="G10" s="1">
        <v>44773</v>
      </c>
      <c r="H10" s="5">
        <v>34584.43</v>
      </c>
      <c r="I10" s="4" t="s">
        <v>83</v>
      </c>
    </row>
    <row r="11" spans="1:9" ht="42.75" x14ac:dyDescent="0.45">
      <c r="A11" s="4">
        <v>10</v>
      </c>
      <c r="B11" s="141" t="s">
        <v>87</v>
      </c>
      <c r="C11" s="142" t="s">
        <v>88</v>
      </c>
      <c r="D11" s="142" t="s">
        <v>89</v>
      </c>
      <c r="E11" s="143" t="s">
        <v>90</v>
      </c>
      <c r="F11" s="1">
        <v>43617</v>
      </c>
      <c r="G11" s="1">
        <v>44804</v>
      </c>
      <c r="H11" s="5">
        <v>20835</v>
      </c>
      <c r="I11" s="4" t="s">
        <v>83</v>
      </c>
    </row>
    <row r="12" spans="1:9" ht="28.5" x14ac:dyDescent="0.45">
      <c r="A12" s="4">
        <v>11</v>
      </c>
      <c r="B12" s="141" t="s">
        <v>91</v>
      </c>
      <c r="C12" s="142" t="s">
        <v>55</v>
      </c>
      <c r="D12" s="142" t="s">
        <v>92</v>
      </c>
      <c r="E12" s="143" t="s">
        <v>93</v>
      </c>
      <c r="F12" s="1">
        <v>43749</v>
      </c>
      <c r="G12" s="1">
        <v>44844</v>
      </c>
      <c r="H12" s="5">
        <v>28571.91</v>
      </c>
      <c r="I12" s="4" t="s">
        <v>58</v>
      </c>
    </row>
    <row r="13" spans="1:9" ht="42.75" x14ac:dyDescent="0.45">
      <c r="A13" s="4">
        <v>12</v>
      </c>
      <c r="B13" s="141" t="s">
        <v>94</v>
      </c>
      <c r="C13" s="142" t="s">
        <v>88</v>
      </c>
      <c r="D13" s="142" t="s">
        <v>95</v>
      </c>
      <c r="E13" s="143" t="s">
        <v>96</v>
      </c>
      <c r="F13" s="1">
        <v>43790</v>
      </c>
      <c r="G13" s="1">
        <v>44885</v>
      </c>
      <c r="H13" s="5">
        <v>14144.48</v>
      </c>
      <c r="I13" s="4" t="s">
        <v>58</v>
      </c>
    </row>
    <row r="14" spans="1:9" ht="42.75" x14ac:dyDescent="0.45">
      <c r="A14" s="4">
        <v>13</v>
      </c>
      <c r="B14" s="141" t="s">
        <v>97</v>
      </c>
      <c r="C14" s="142" t="s">
        <v>55</v>
      </c>
      <c r="D14" s="142" t="s">
        <v>98</v>
      </c>
      <c r="E14" s="143" t="s">
        <v>99</v>
      </c>
      <c r="F14" s="1">
        <v>43800</v>
      </c>
      <c r="G14" s="1">
        <v>44895</v>
      </c>
      <c r="H14" s="5">
        <v>7200</v>
      </c>
      <c r="I14" s="4" t="s">
        <v>58</v>
      </c>
    </row>
    <row r="15" spans="1:9" ht="28.5" x14ac:dyDescent="0.45">
      <c r="A15" s="4">
        <v>14</v>
      </c>
      <c r="B15" s="141" t="s">
        <v>100</v>
      </c>
      <c r="C15" s="142" t="s">
        <v>55</v>
      </c>
      <c r="D15" s="142" t="s">
        <v>101</v>
      </c>
      <c r="E15" s="143" t="s">
        <v>102</v>
      </c>
      <c r="F15" s="1">
        <v>43831</v>
      </c>
      <c r="G15" s="1">
        <v>44926</v>
      </c>
      <c r="H15" s="5">
        <v>6350.7</v>
      </c>
      <c r="I15" s="4" t="s">
        <v>83</v>
      </c>
    </row>
    <row r="16" spans="1:9" x14ac:dyDescent="0.45">
      <c r="A16" s="4">
        <v>15</v>
      </c>
      <c r="B16" s="141" t="s">
        <v>103</v>
      </c>
      <c r="C16" s="142" t="s">
        <v>104</v>
      </c>
      <c r="D16" s="142" t="s">
        <v>105</v>
      </c>
      <c r="E16" s="143" t="s">
        <v>106</v>
      </c>
      <c r="F16" s="1">
        <v>44211</v>
      </c>
      <c r="G16" s="1">
        <v>44940</v>
      </c>
      <c r="H16" s="5">
        <v>6500</v>
      </c>
      <c r="I16" s="4" t="s">
        <v>58</v>
      </c>
    </row>
    <row r="17" spans="1:9" ht="28.5" x14ac:dyDescent="0.45">
      <c r="A17" s="4">
        <v>16</v>
      </c>
      <c r="B17" s="141" t="s">
        <v>107</v>
      </c>
      <c r="C17" s="142" t="s">
        <v>55</v>
      </c>
      <c r="D17" s="142" t="s">
        <v>108</v>
      </c>
      <c r="E17" s="143" t="s">
        <v>109</v>
      </c>
      <c r="F17" s="1">
        <v>43885</v>
      </c>
      <c r="G17" s="1">
        <v>44980</v>
      </c>
      <c r="H17" s="5" t="s">
        <v>110</v>
      </c>
      <c r="I17" s="4" t="s">
        <v>58</v>
      </c>
    </row>
    <row r="18" spans="1:9" ht="28.5" x14ac:dyDescent="0.45">
      <c r="A18" s="4">
        <v>17</v>
      </c>
      <c r="B18" s="141" t="s">
        <v>111</v>
      </c>
      <c r="C18" s="142" t="s">
        <v>55</v>
      </c>
      <c r="D18" s="142" t="s">
        <v>112</v>
      </c>
      <c r="E18" s="143" t="s">
        <v>113</v>
      </c>
      <c r="F18" s="1">
        <v>44075</v>
      </c>
      <c r="G18" s="1">
        <v>45169</v>
      </c>
      <c r="H18" s="5" t="s">
        <v>110</v>
      </c>
      <c r="I18" s="4" t="s">
        <v>58</v>
      </c>
    </row>
    <row r="19" spans="1:9" ht="28.5" x14ac:dyDescent="0.45">
      <c r="A19" s="4">
        <v>18</v>
      </c>
      <c r="B19" s="141" t="s">
        <v>114</v>
      </c>
      <c r="C19" s="142" t="s">
        <v>55</v>
      </c>
      <c r="D19" s="142" t="s">
        <v>115</v>
      </c>
      <c r="E19" s="143" t="s">
        <v>116</v>
      </c>
      <c r="F19" s="1">
        <v>44197</v>
      </c>
      <c r="G19" s="1">
        <v>45291</v>
      </c>
      <c r="H19" s="5" t="s">
        <v>110</v>
      </c>
      <c r="I19" s="4" t="s">
        <v>58</v>
      </c>
    </row>
    <row r="20" spans="1:9" ht="28.5" x14ac:dyDescent="0.45">
      <c r="A20" s="4">
        <v>19</v>
      </c>
      <c r="B20" s="141" t="s">
        <v>117</v>
      </c>
      <c r="C20" s="142" t="s">
        <v>55</v>
      </c>
      <c r="D20" s="142" t="s">
        <v>118</v>
      </c>
      <c r="E20" s="143" t="s">
        <v>119</v>
      </c>
      <c r="F20" s="1">
        <v>44180</v>
      </c>
      <c r="G20" s="1">
        <v>45274</v>
      </c>
      <c r="H20" s="5" t="s">
        <v>110</v>
      </c>
      <c r="I20" s="4" t="s">
        <v>58</v>
      </c>
    </row>
    <row r="21" spans="1:9" ht="42.75" x14ac:dyDescent="0.45">
      <c r="A21" s="4">
        <v>20</v>
      </c>
      <c r="B21" s="141" t="s">
        <v>120</v>
      </c>
      <c r="C21" s="142" t="s">
        <v>55</v>
      </c>
      <c r="D21" s="142" t="s">
        <v>121</v>
      </c>
      <c r="E21" s="143" t="s">
        <v>122</v>
      </c>
      <c r="F21" s="1">
        <v>44298</v>
      </c>
      <c r="G21" s="1">
        <v>45393</v>
      </c>
      <c r="H21" s="5" t="s">
        <v>110</v>
      </c>
      <c r="I21" s="4" t="s">
        <v>58</v>
      </c>
    </row>
    <row r="22" spans="1:9" ht="28.5" x14ac:dyDescent="0.45">
      <c r="A22" s="4">
        <v>21</v>
      </c>
      <c r="B22" s="141" t="s">
        <v>123</v>
      </c>
      <c r="C22" s="142" t="s">
        <v>124</v>
      </c>
      <c r="D22" s="142" t="s">
        <v>125</v>
      </c>
      <c r="E22" s="143" t="s">
        <v>126</v>
      </c>
      <c r="F22" s="1">
        <v>44309</v>
      </c>
      <c r="G22" s="1">
        <v>45404</v>
      </c>
      <c r="H22" s="5" t="s">
        <v>110</v>
      </c>
      <c r="I22" s="4" t="s">
        <v>58</v>
      </c>
    </row>
    <row r="23" spans="1:9" ht="42.75" x14ac:dyDescent="0.45">
      <c r="A23" s="4">
        <v>22</v>
      </c>
      <c r="B23" s="141" t="s">
        <v>127</v>
      </c>
      <c r="C23" s="142" t="s">
        <v>55</v>
      </c>
      <c r="D23" s="142" t="s">
        <v>128</v>
      </c>
      <c r="E23" s="143" t="s">
        <v>129</v>
      </c>
      <c r="F23" s="1">
        <v>44301</v>
      </c>
      <c r="G23" s="1">
        <v>45412</v>
      </c>
      <c r="H23" s="5" t="s">
        <v>110</v>
      </c>
      <c r="I23" s="4" t="s">
        <v>58</v>
      </c>
    </row>
    <row r="24" spans="1:9" ht="28.5" x14ac:dyDescent="0.45">
      <c r="A24" s="4">
        <v>23</v>
      </c>
      <c r="B24" s="141" t="s">
        <v>130</v>
      </c>
      <c r="C24" s="142" t="s">
        <v>124</v>
      </c>
      <c r="D24" s="142" t="s">
        <v>131</v>
      </c>
      <c r="E24" s="143" t="s">
        <v>132</v>
      </c>
      <c r="F24" s="1">
        <v>44352</v>
      </c>
      <c r="G24" s="1">
        <v>45447</v>
      </c>
      <c r="H24" s="5" t="s">
        <v>110</v>
      </c>
      <c r="I24" s="4" t="s">
        <v>58</v>
      </c>
    </row>
    <row r="25" spans="1:9" ht="28.5" x14ac:dyDescent="0.45">
      <c r="A25" s="98">
        <v>24</v>
      </c>
      <c r="B25" s="141" t="s">
        <v>133</v>
      </c>
      <c r="C25" s="142" t="s">
        <v>134</v>
      </c>
      <c r="D25" s="142" t="s">
        <v>135</v>
      </c>
      <c r="E25" s="143" t="s">
        <v>136</v>
      </c>
      <c r="F25" s="99">
        <v>43831</v>
      </c>
      <c r="G25" s="99">
        <v>44926</v>
      </c>
      <c r="H25" s="101" t="s">
        <v>137</v>
      </c>
      <c r="I25" s="98"/>
    </row>
    <row r="26" spans="1:9" x14ac:dyDescent="0.45">
      <c r="A26" s="4">
        <v>25</v>
      </c>
      <c r="B26" s="141" t="s">
        <v>138</v>
      </c>
      <c r="C26" s="142" t="s">
        <v>139</v>
      </c>
      <c r="D26" s="142" t="s">
        <v>140</v>
      </c>
      <c r="E26" s="143" t="s">
        <v>141</v>
      </c>
      <c r="F26" s="1">
        <v>44515</v>
      </c>
      <c r="G26" s="1">
        <v>45610</v>
      </c>
      <c r="H26" s="5">
        <v>49268</v>
      </c>
      <c r="I26" s="4" t="s">
        <v>58</v>
      </c>
    </row>
    <row r="27" spans="1:9" ht="28.5" x14ac:dyDescent="0.45">
      <c r="A27" s="4">
        <v>26</v>
      </c>
      <c r="B27" s="141" t="s">
        <v>142</v>
      </c>
      <c r="C27" s="142" t="s">
        <v>143</v>
      </c>
      <c r="D27" s="142" t="s">
        <v>144</v>
      </c>
      <c r="E27" s="143" t="s">
        <v>145</v>
      </c>
      <c r="F27" s="1">
        <v>44018</v>
      </c>
      <c r="G27" s="1">
        <v>45112</v>
      </c>
      <c r="H27" s="5" t="s">
        <v>110</v>
      </c>
      <c r="I27" s="4" t="s">
        <v>58</v>
      </c>
    </row>
    <row r="28" spans="1:9" x14ac:dyDescent="0.45">
      <c r="A28" s="4">
        <v>27</v>
      </c>
      <c r="B28" s="141" t="s">
        <v>146</v>
      </c>
      <c r="C28" s="142" t="s">
        <v>147</v>
      </c>
      <c r="D28" s="142" t="s">
        <v>148</v>
      </c>
      <c r="E28" s="143" t="s">
        <v>149</v>
      </c>
      <c r="F28" s="1">
        <v>44515</v>
      </c>
      <c r="G28" s="1">
        <v>45610</v>
      </c>
      <c r="H28" s="5">
        <v>35005.599999999999</v>
      </c>
      <c r="I28" s="4" t="s">
        <v>58</v>
      </c>
    </row>
    <row r="29" spans="1:9" ht="42.75" x14ac:dyDescent="0.45">
      <c r="A29" s="98">
        <v>28</v>
      </c>
      <c r="B29" s="141" t="s">
        <v>150</v>
      </c>
      <c r="C29" s="142" t="s">
        <v>151</v>
      </c>
      <c r="D29" s="142" t="s">
        <v>152</v>
      </c>
      <c r="E29" s="143" t="s">
        <v>153</v>
      </c>
      <c r="F29" s="99">
        <v>43521</v>
      </c>
      <c r="G29" s="99">
        <v>44616</v>
      </c>
      <c r="H29" s="101" t="s">
        <v>137</v>
      </c>
      <c r="I29" s="98"/>
    </row>
    <row r="30" spans="1:9" ht="42.75" x14ac:dyDescent="0.45">
      <c r="A30" s="98">
        <v>29</v>
      </c>
      <c r="B30" s="141" t="s">
        <v>154</v>
      </c>
      <c r="C30" s="142" t="s">
        <v>151</v>
      </c>
      <c r="D30" s="142" t="s">
        <v>155</v>
      </c>
      <c r="E30" s="143" t="s">
        <v>156</v>
      </c>
      <c r="F30" s="99">
        <v>43466</v>
      </c>
      <c r="G30" s="99">
        <v>44561</v>
      </c>
      <c r="H30" s="100" t="s">
        <v>157</v>
      </c>
      <c r="I30" s="98"/>
    </row>
    <row r="31" spans="1:9" ht="42.75" x14ac:dyDescent="0.45">
      <c r="A31" s="98">
        <v>30</v>
      </c>
      <c r="B31" s="141" t="s">
        <v>158</v>
      </c>
      <c r="C31" s="142" t="s">
        <v>151</v>
      </c>
      <c r="D31" s="142" t="s">
        <v>159</v>
      </c>
      <c r="E31" s="143" t="s">
        <v>160</v>
      </c>
      <c r="F31" s="99">
        <v>43586</v>
      </c>
      <c r="G31" s="99">
        <v>44681</v>
      </c>
      <c r="H31" s="100" t="s">
        <v>157</v>
      </c>
      <c r="I31" s="98"/>
    </row>
    <row r="32" spans="1:9" ht="42.75" x14ac:dyDescent="0.45">
      <c r="A32" s="98">
        <v>31</v>
      </c>
      <c r="B32" s="141" t="s">
        <v>161</v>
      </c>
      <c r="C32" s="142" t="s">
        <v>162</v>
      </c>
      <c r="D32" s="142" t="s">
        <v>163</v>
      </c>
      <c r="E32" s="143" t="s">
        <v>164</v>
      </c>
      <c r="F32" s="99">
        <v>43374</v>
      </c>
      <c r="G32" s="99">
        <v>44469</v>
      </c>
      <c r="H32" s="100" t="s">
        <v>62</v>
      </c>
      <c r="I32" s="98"/>
    </row>
    <row r="33" spans="1:9" s="102" customFormat="1" ht="42.75" x14ac:dyDescent="0.45">
      <c r="A33" s="98">
        <v>32</v>
      </c>
      <c r="B33" s="141" t="s">
        <v>165</v>
      </c>
      <c r="C33" s="142" t="s">
        <v>166</v>
      </c>
      <c r="D33" s="142" t="s">
        <v>167</v>
      </c>
      <c r="E33" s="143" t="s">
        <v>168</v>
      </c>
      <c r="F33" s="99">
        <v>43374</v>
      </c>
      <c r="G33" s="99">
        <v>44469</v>
      </c>
      <c r="H33" s="100" t="s">
        <v>62</v>
      </c>
      <c r="I33" s="98"/>
    </row>
    <row r="34" spans="1:9" ht="57" x14ac:dyDescent="0.45">
      <c r="A34" s="4">
        <v>33</v>
      </c>
      <c r="B34" s="141" t="s">
        <v>169</v>
      </c>
      <c r="C34" s="142" t="s">
        <v>170</v>
      </c>
      <c r="D34" s="142" t="s">
        <v>171</v>
      </c>
      <c r="E34" s="143" t="s">
        <v>172</v>
      </c>
      <c r="F34" s="1">
        <v>43739</v>
      </c>
      <c r="G34" s="1">
        <v>44834</v>
      </c>
      <c r="H34" s="5">
        <v>38104.199999999997</v>
      </c>
      <c r="I34" s="4" t="s">
        <v>58</v>
      </c>
    </row>
    <row r="35" spans="1:9" ht="57" x14ac:dyDescent="0.45">
      <c r="A35" s="98">
        <v>34</v>
      </c>
      <c r="B35" s="141" t="s">
        <v>173</v>
      </c>
      <c r="C35" s="142" t="s">
        <v>174</v>
      </c>
      <c r="D35" s="142" t="s">
        <v>175</v>
      </c>
      <c r="E35" s="143" t="s">
        <v>176</v>
      </c>
      <c r="F35" s="99">
        <v>43556</v>
      </c>
      <c r="G35" s="99">
        <v>44651</v>
      </c>
      <c r="H35" s="100" t="s">
        <v>157</v>
      </c>
      <c r="I35" s="98"/>
    </row>
    <row r="36" spans="1:9" ht="42.75" x14ac:dyDescent="0.45">
      <c r="A36" s="98">
        <v>35</v>
      </c>
      <c r="B36" s="141" t="s">
        <v>177</v>
      </c>
      <c r="C36" s="142" t="s">
        <v>178</v>
      </c>
      <c r="D36" s="142" t="s">
        <v>179</v>
      </c>
      <c r="E36" s="143" t="s">
        <v>180</v>
      </c>
      <c r="F36" s="99">
        <v>43617</v>
      </c>
      <c r="G36" s="99">
        <v>44712</v>
      </c>
      <c r="H36" s="100" t="s">
        <v>157</v>
      </c>
      <c r="I36" s="98"/>
    </row>
    <row r="37" spans="1:9" ht="57" x14ac:dyDescent="0.45">
      <c r="A37" s="98">
        <v>36</v>
      </c>
      <c r="B37" s="141" t="s">
        <v>181</v>
      </c>
      <c r="C37" s="142" t="s">
        <v>55</v>
      </c>
      <c r="D37" s="142" t="s">
        <v>182</v>
      </c>
      <c r="E37" s="143" t="s">
        <v>183</v>
      </c>
      <c r="F37" s="99">
        <v>44270</v>
      </c>
      <c r="G37" s="99">
        <v>45365</v>
      </c>
      <c r="H37" s="100" t="s">
        <v>157</v>
      </c>
      <c r="I37" s="98"/>
    </row>
    <row r="38" spans="1:9" ht="42.75" x14ac:dyDescent="0.45">
      <c r="A38" s="98">
        <v>37</v>
      </c>
      <c r="B38" s="141" t="s">
        <v>184</v>
      </c>
      <c r="C38" s="142" t="s">
        <v>55</v>
      </c>
      <c r="D38" s="142" t="s">
        <v>185</v>
      </c>
      <c r="E38" s="143" t="s">
        <v>186</v>
      </c>
      <c r="F38" s="99">
        <v>43249</v>
      </c>
      <c r="G38" s="99">
        <v>44344</v>
      </c>
      <c r="H38" s="100" t="s">
        <v>62</v>
      </c>
      <c r="I38" s="98"/>
    </row>
    <row r="39" spans="1:9" ht="42.75" x14ac:dyDescent="0.45">
      <c r="A39" s="98">
        <v>38</v>
      </c>
      <c r="B39" s="141" t="s">
        <v>187</v>
      </c>
      <c r="C39" s="142" t="s">
        <v>55</v>
      </c>
      <c r="D39" s="142" t="s">
        <v>188</v>
      </c>
      <c r="E39" s="143" t="s">
        <v>189</v>
      </c>
      <c r="F39" s="99">
        <v>43235</v>
      </c>
      <c r="G39" s="99">
        <v>44330</v>
      </c>
      <c r="H39" s="100" t="s">
        <v>62</v>
      </c>
      <c r="I39" s="98"/>
    </row>
    <row r="40" spans="1:9" ht="42.75" x14ac:dyDescent="0.45">
      <c r="A40" s="4">
        <v>39</v>
      </c>
      <c r="B40" s="141" t="s">
        <v>190</v>
      </c>
      <c r="C40" s="142" t="s">
        <v>191</v>
      </c>
      <c r="D40" s="142" t="s">
        <v>192</v>
      </c>
      <c r="E40" s="143" t="s">
        <v>189</v>
      </c>
      <c r="F40" s="1">
        <v>44331</v>
      </c>
      <c r="G40" s="1">
        <v>45426</v>
      </c>
      <c r="H40" s="5" t="s">
        <v>110</v>
      </c>
      <c r="I40" s="4" t="s">
        <v>58</v>
      </c>
    </row>
    <row r="41" spans="1:9" ht="42.75" x14ac:dyDescent="0.45">
      <c r="A41" s="98">
        <v>40</v>
      </c>
      <c r="B41" s="141" t="s">
        <v>193</v>
      </c>
      <c r="C41" s="142" t="s">
        <v>194</v>
      </c>
      <c r="D41" s="142" t="s">
        <v>195</v>
      </c>
      <c r="E41" s="143" t="s">
        <v>196</v>
      </c>
      <c r="F41" s="99">
        <v>43252</v>
      </c>
      <c r="G41" s="99">
        <v>44347</v>
      </c>
      <c r="H41" s="100" t="s">
        <v>62</v>
      </c>
      <c r="I41" s="98"/>
    </row>
    <row r="42" spans="1:9" ht="42.75" x14ac:dyDescent="0.45">
      <c r="A42" s="4">
        <v>41</v>
      </c>
      <c r="B42" s="141" t="s">
        <v>197</v>
      </c>
      <c r="C42" s="142" t="s">
        <v>194</v>
      </c>
      <c r="D42" s="142" t="s">
        <v>198</v>
      </c>
      <c r="E42" s="143" t="s">
        <v>199</v>
      </c>
      <c r="F42" s="1">
        <v>44409</v>
      </c>
      <c r="G42" s="1">
        <v>45504</v>
      </c>
      <c r="H42" s="5" t="s">
        <v>110</v>
      </c>
      <c r="I42" s="4" t="s">
        <v>83</v>
      </c>
    </row>
    <row r="43" spans="1:9" ht="28.5" x14ac:dyDescent="0.45">
      <c r="A43" s="98">
        <v>42</v>
      </c>
      <c r="B43" s="141" t="s">
        <v>200</v>
      </c>
      <c r="C43" s="142" t="s">
        <v>201</v>
      </c>
      <c r="D43" s="142" t="s">
        <v>202</v>
      </c>
      <c r="E43" s="143" t="s">
        <v>203</v>
      </c>
      <c r="F43" s="99">
        <v>44440</v>
      </c>
      <c r="G43" s="99">
        <v>45535</v>
      </c>
      <c r="H43" s="100" t="s">
        <v>157</v>
      </c>
      <c r="I43" s="98"/>
    </row>
    <row r="44" spans="1:9" x14ac:dyDescent="0.45">
      <c r="A44" s="98">
        <v>43</v>
      </c>
      <c r="B44" s="141" t="s">
        <v>204</v>
      </c>
      <c r="C44" s="142" t="s">
        <v>191</v>
      </c>
      <c r="D44" s="142" t="s">
        <v>205</v>
      </c>
      <c r="E44" s="141" t="s">
        <v>206</v>
      </c>
      <c r="F44" s="99">
        <v>44515</v>
      </c>
      <c r="G44" s="99">
        <v>45610</v>
      </c>
      <c r="H44" s="100" t="s">
        <v>157</v>
      </c>
      <c r="I44" s="98"/>
    </row>
    <row r="45" spans="1:9" x14ac:dyDescent="0.45">
      <c r="A45" s="4">
        <v>44</v>
      </c>
      <c r="B45" s="141"/>
      <c r="C45" s="142" t="s">
        <v>207</v>
      </c>
      <c r="D45" s="142" t="s">
        <v>208</v>
      </c>
      <c r="E45" s="142" t="s">
        <v>208</v>
      </c>
      <c r="F45" s="1">
        <v>44197</v>
      </c>
      <c r="G45" s="1">
        <v>45291</v>
      </c>
      <c r="H45" s="5">
        <v>9045</v>
      </c>
      <c r="I45" s="4" t="s">
        <v>58</v>
      </c>
    </row>
    <row r="46" spans="1:9" x14ac:dyDescent="0.45">
      <c r="A46" s="4">
        <v>45</v>
      </c>
      <c r="B46" s="141"/>
      <c r="C46" s="142" t="s">
        <v>209</v>
      </c>
      <c r="D46" s="142" t="s">
        <v>210</v>
      </c>
      <c r="E46" s="142" t="s">
        <v>210</v>
      </c>
      <c r="F46" s="1">
        <v>43891</v>
      </c>
      <c r="G46" s="1">
        <v>44985</v>
      </c>
      <c r="H46" s="5">
        <v>2400</v>
      </c>
      <c r="I46" s="4" t="s">
        <v>58</v>
      </c>
    </row>
    <row r="47" spans="1:9" x14ac:dyDescent="0.45">
      <c r="B47" s="141"/>
      <c r="E47" s="141"/>
      <c r="F47" s="1"/>
      <c r="G47" s="1"/>
    </row>
    <row r="48" spans="1:9" x14ac:dyDescent="0.45">
      <c r="B48" s="141"/>
      <c r="E48" s="141"/>
      <c r="F48" s="1"/>
      <c r="G48" s="1"/>
      <c r="H48" s="5" t="s">
        <v>211</v>
      </c>
    </row>
    <row r="49" spans="2:7" x14ac:dyDescent="0.45">
      <c r="B49" s="141"/>
      <c r="E49" s="141"/>
      <c r="F49" s="1"/>
      <c r="G49" s="1"/>
    </row>
    <row r="50" spans="2:7" x14ac:dyDescent="0.45">
      <c r="B50" s="141"/>
      <c r="E50" s="141"/>
      <c r="F50" s="1"/>
      <c r="G50" s="1"/>
    </row>
    <row r="51" spans="2:7" x14ac:dyDescent="0.45">
      <c r="B51" s="141"/>
      <c r="E51" s="141"/>
      <c r="F51" s="1"/>
      <c r="G51" s="1"/>
    </row>
    <row r="52" spans="2:7" x14ac:dyDescent="0.45">
      <c r="B52" s="141"/>
      <c r="E52" s="141"/>
      <c r="F52" s="1"/>
      <c r="G52" s="1"/>
    </row>
    <row r="53" spans="2:7" x14ac:dyDescent="0.45">
      <c r="B53" s="141"/>
      <c r="E53" s="141"/>
      <c r="F53" s="1"/>
      <c r="G53" s="1"/>
    </row>
    <row r="54" spans="2:7" x14ac:dyDescent="0.45">
      <c r="B54" s="141"/>
      <c r="E54" s="141"/>
      <c r="F54" s="1"/>
      <c r="G54" s="1"/>
    </row>
    <row r="55" spans="2:7" x14ac:dyDescent="0.45">
      <c r="B55" s="141"/>
      <c r="E55" s="141"/>
      <c r="F55" s="1"/>
      <c r="G55" s="1"/>
    </row>
    <row r="56" spans="2:7" x14ac:dyDescent="0.45">
      <c r="B56" s="141"/>
      <c r="E56" s="141"/>
      <c r="F56" s="1"/>
      <c r="G56" s="1"/>
    </row>
    <row r="57" spans="2:7" x14ac:dyDescent="0.45">
      <c r="B57" s="141"/>
      <c r="E57" s="141"/>
      <c r="F57" s="1"/>
      <c r="G57" s="1"/>
    </row>
    <row r="58" spans="2:7" x14ac:dyDescent="0.45">
      <c r="B58" s="141"/>
      <c r="E58" s="141"/>
      <c r="F58" s="1"/>
      <c r="G58" s="1"/>
    </row>
  </sheetData>
  <sheetProtection algorithmName="SHA-512" hashValue="p4MWwujpSWfgdU2lZX4Fha08Lxza6QAVttD/i66VIjnG5Qyvd2o8Zs4GGJbFc+6FjqB2kk3LAZE/AOLPH3OrKw==" saltValue="fuPDiwBXWfTPN8Zsmj7VjA==" spinCount="100000" sheet="1" objects="1" scenarios="1" selectLockedCells="1" selectUn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B52CA-BE39-4637-A35A-7774CF6BA459}">
  <sheetPr>
    <tabColor theme="1"/>
  </sheetPr>
  <dimension ref="B1:R130"/>
  <sheetViews>
    <sheetView topLeftCell="A13" zoomScale="85" zoomScaleNormal="85" workbookViewId="0">
      <selection activeCell="E39" sqref="E39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9" max="9" width="11.86328125" bestFit="1" customWidth="1"/>
    <col min="10" max="10" width="10.86328125" bestFit="1" customWidth="1"/>
    <col min="11" max="11" width="14.86328125" customWidth="1"/>
    <col min="12" max="12" width="12.398437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56</v>
      </c>
    </row>
    <row r="3" spans="2:7" x14ac:dyDescent="0.45">
      <c r="B3" s="11"/>
      <c r="F3" s="4" t="s">
        <v>9</v>
      </c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20120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44470</v>
      </c>
      <c r="E10" s="12">
        <f>VLOOKUP($C$2,'Lease Summary'!D:H,4,FALSE)</f>
        <v>45565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33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20120</v>
      </c>
      <c r="G22" s="7" t="s">
        <v>229</v>
      </c>
      <c r="H22" s="53">
        <f>-PV(F16,F12,F22,0,1)</f>
        <v>689183.76727581257</v>
      </c>
      <c r="J22" s="17" t="s">
        <v>234</v>
      </c>
      <c r="K22" s="22"/>
      <c r="L22" s="7"/>
      <c r="M22" s="65">
        <f>H22</f>
        <v>689183.76727581257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44470</v>
      </c>
      <c r="D29" s="27">
        <v>1</v>
      </c>
      <c r="E29" s="33">
        <f>H22</f>
        <v>689183.76727581257</v>
      </c>
      <c r="F29" s="42">
        <f>-D7</f>
        <v>-20120</v>
      </c>
      <c r="G29" s="46">
        <f t="shared" ref="G29:G64" si="0">((E29+F29)*($F$16))</f>
        <v>1920.814312452723</v>
      </c>
      <c r="H29" s="59">
        <f>SUM(E29:G29)</f>
        <v>670984.58158826525</v>
      </c>
      <c r="J29" s="69">
        <f t="shared" ref="J29:J64" si="1">D29</f>
        <v>1</v>
      </c>
      <c r="K29" s="70">
        <f>M22</f>
        <v>689183.76727581257</v>
      </c>
      <c r="L29" s="42">
        <f t="shared" ref="L29:L64" si="2">-$M$22/$F$12</f>
        <v>-19143.993535439236</v>
      </c>
      <c r="M29" s="71">
        <f t="shared" ref="M29:M64" si="3">K29+L29</f>
        <v>670039.77374037332</v>
      </c>
      <c r="N29" s="32"/>
      <c r="O29" s="72">
        <f>+F29</f>
        <v>-20120</v>
      </c>
      <c r="P29" s="73">
        <f>+G29</f>
        <v>1920.814312452723</v>
      </c>
      <c r="Q29" s="71">
        <f>-L29</f>
        <v>19143.993535439236</v>
      </c>
      <c r="R29" s="85"/>
    </row>
    <row r="30" spans="2:18" x14ac:dyDescent="0.45">
      <c r="B30" s="7"/>
      <c r="C30" s="19">
        <f>DATE(YEAR(C29),MONTH(C29)+1,DAY(C29))</f>
        <v>44501</v>
      </c>
      <c r="D30" s="26">
        <f t="shared" ref="D30:D64" si="4">D29+1</f>
        <v>2</v>
      </c>
      <c r="E30" s="34">
        <f t="shared" ref="E30:E64" si="5">H29</f>
        <v>670984.58158826525</v>
      </c>
      <c r="F30" s="43">
        <f t="shared" ref="F30:F64" si="6">F29</f>
        <v>-20120</v>
      </c>
      <c r="G30" s="47">
        <f t="shared" si="0"/>
        <v>1868.5662935741054</v>
      </c>
      <c r="H30" s="60">
        <f t="shared" ref="H30:H64" si="7">SUM(E30:G30)</f>
        <v>652733.14788183931</v>
      </c>
      <c r="J30" s="74">
        <f t="shared" si="1"/>
        <v>2</v>
      </c>
      <c r="K30" s="48">
        <f t="shared" ref="K30:K64" si="8">M29</f>
        <v>670039.77374037332</v>
      </c>
      <c r="L30" s="43">
        <f t="shared" si="2"/>
        <v>-19143.993535439236</v>
      </c>
      <c r="M30" s="75">
        <f t="shared" si="3"/>
        <v>650895.78020493407</v>
      </c>
      <c r="N30" s="32"/>
      <c r="O30" s="76">
        <f t="shared" ref="O30:P45" si="9">+O29+F30</f>
        <v>-40240</v>
      </c>
      <c r="P30" s="77">
        <f t="shared" si="9"/>
        <v>3789.3806060268284</v>
      </c>
      <c r="Q30" s="75">
        <f t="shared" ref="Q30:Q64" si="10">+Q29-L30</f>
        <v>38287.987070878473</v>
      </c>
      <c r="R30" s="86"/>
    </row>
    <row r="31" spans="2:18" x14ac:dyDescent="0.45">
      <c r="B31" s="7"/>
      <c r="C31" s="19">
        <f t="shared" ref="C31:C94" si="11">DATE(YEAR(C30),MONTH(C30)+1,DAY(C30))</f>
        <v>44531</v>
      </c>
      <c r="D31" s="26">
        <f t="shared" si="4"/>
        <v>3</v>
      </c>
      <c r="E31" s="34">
        <f t="shared" si="5"/>
        <v>652733.14788183931</v>
      </c>
      <c r="F31" s="43">
        <f t="shared" si="6"/>
        <v>-20120</v>
      </c>
      <c r="G31" s="47">
        <f t="shared" si="0"/>
        <v>1816.168275925015</v>
      </c>
      <c r="H31" s="60">
        <f t="shared" si="7"/>
        <v>634429.31615776429</v>
      </c>
      <c r="J31" s="74">
        <f t="shared" si="1"/>
        <v>3</v>
      </c>
      <c r="K31" s="48">
        <f t="shared" si="8"/>
        <v>650895.78020493407</v>
      </c>
      <c r="L31" s="43">
        <f t="shared" si="2"/>
        <v>-19143.993535439236</v>
      </c>
      <c r="M31" s="75">
        <f t="shared" si="3"/>
        <v>631751.78666949482</v>
      </c>
      <c r="N31" s="32"/>
      <c r="O31" s="76">
        <f t="shared" si="9"/>
        <v>-60360</v>
      </c>
      <c r="P31" s="39">
        <f t="shared" si="9"/>
        <v>5605.5488819518432</v>
      </c>
      <c r="Q31" s="88">
        <f t="shared" si="10"/>
        <v>57431.980606317709</v>
      </c>
      <c r="R31" s="86"/>
    </row>
    <row r="32" spans="2:18" x14ac:dyDescent="0.45">
      <c r="B32" s="7"/>
      <c r="C32" s="19">
        <f t="shared" si="11"/>
        <v>44562</v>
      </c>
      <c r="D32" s="26">
        <f t="shared" si="4"/>
        <v>4</v>
      </c>
      <c r="E32" s="34">
        <f t="shared" si="5"/>
        <v>634429.31615776429</v>
      </c>
      <c r="F32" s="43">
        <f t="shared" si="6"/>
        <v>-20120</v>
      </c>
      <c r="G32" s="47">
        <f t="shared" si="0"/>
        <v>1763.6198288741734</v>
      </c>
      <c r="H32" s="60">
        <f t="shared" si="7"/>
        <v>616072.93598663842</v>
      </c>
      <c r="J32" s="74">
        <f t="shared" si="1"/>
        <v>4</v>
      </c>
      <c r="K32" s="48">
        <f t="shared" si="8"/>
        <v>631751.78666949482</v>
      </c>
      <c r="L32" s="43">
        <f t="shared" si="2"/>
        <v>-19143.993535439236</v>
      </c>
      <c r="M32" s="75">
        <f t="shared" si="3"/>
        <v>612607.79313405557</v>
      </c>
      <c r="N32" s="32"/>
      <c r="O32" s="76">
        <f t="shared" si="9"/>
        <v>-80480</v>
      </c>
      <c r="P32" s="39">
        <f t="shared" si="9"/>
        <v>7369.1687108260166</v>
      </c>
      <c r="Q32" s="88">
        <f t="shared" si="10"/>
        <v>76575.974141756946</v>
      </c>
      <c r="R32" s="86"/>
    </row>
    <row r="33" spans="2:18" x14ac:dyDescent="0.45">
      <c r="B33" s="7"/>
      <c r="C33" s="19">
        <f t="shared" si="11"/>
        <v>44593</v>
      </c>
      <c r="D33" s="26">
        <f t="shared" si="4"/>
        <v>5</v>
      </c>
      <c r="E33" s="34">
        <f t="shared" si="5"/>
        <v>616072.93598663842</v>
      </c>
      <c r="F33" s="43">
        <f t="shared" si="6"/>
        <v>-20120</v>
      </c>
      <c r="G33" s="47">
        <f t="shared" si="0"/>
        <v>1710.9205205540043</v>
      </c>
      <c r="H33" s="60">
        <f t="shared" si="7"/>
        <v>597663.85650719237</v>
      </c>
      <c r="J33" s="74">
        <f t="shared" si="1"/>
        <v>5</v>
      </c>
      <c r="K33" s="48">
        <f t="shared" si="8"/>
        <v>612607.79313405557</v>
      </c>
      <c r="L33" s="43">
        <f t="shared" si="2"/>
        <v>-19143.993535439236</v>
      </c>
      <c r="M33" s="75">
        <f t="shared" si="3"/>
        <v>593463.79959861632</v>
      </c>
      <c r="N33" s="32"/>
      <c r="O33" s="76">
        <f t="shared" si="9"/>
        <v>-100600</v>
      </c>
      <c r="P33" s="39">
        <f t="shared" si="9"/>
        <v>9080.0892313800214</v>
      </c>
      <c r="Q33" s="88">
        <f t="shared" si="10"/>
        <v>95719.967677196182</v>
      </c>
      <c r="R33" s="86"/>
    </row>
    <row r="34" spans="2:18" x14ac:dyDescent="0.45">
      <c r="B34" s="7"/>
      <c r="C34" s="19">
        <f t="shared" si="11"/>
        <v>44621</v>
      </c>
      <c r="D34" s="26">
        <f t="shared" si="4"/>
        <v>6</v>
      </c>
      <c r="E34" s="34">
        <f t="shared" si="5"/>
        <v>597663.85650719237</v>
      </c>
      <c r="F34" s="43">
        <f t="shared" si="6"/>
        <v>-20120</v>
      </c>
      <c r="G34" s="47">
        <f t="shared" si="0"/>
        <v>1658.0699178570826</v>
      </c>
      <c r="H34" s="60">
        <f t="shared" si="7"/>
        <v>579201.92642504943</v>
      </c>
      <c r="J34" s="74">
        <f t="shared" si="1"/>
        <v>6</v>
      </c>
      <c r="K34" s="48">
        <f t="shared" si="8"/>
        <v>593463.79959861632</v>
      </c>
      <c r="L34" s="43">
        <f t="shared" si="2"/>
        <v>-19143.993535439236</v>
      </c>
      <c r="M34" s="75">
        <f t="shared" si="3"/>
        <v>574319.80606317706</v>
      </c>
      <c r="N34" s="32"/>
      <c r="O34" s="76">
        <f t="shared" si="9"/>
        <v>-120720</v>
      </c>
      <c r="P34" s="39">
        <f t="shared" si="9"/>
        <v>10738.159149237104</v>
      </c>
      <c r="Q34" s="88">
        <f t="shared" si="10"/>
        <v>114863.96121263542</v>
      </c>
      <c r="R34" s="86"/>
    </row>
    <row r="35" spans="2:18" x14ac:dyDescent="0.45">
      <c r="B35" s="7"/>
      <c r="C35" s="19">
        <f t="shared" si="11"/>
        <v>44652</v>
      </c>
      <c r="D35" s="26">
        <f t="shared" si="4"/>
        <v>7</v>
      </c>
      <c r="E35" s="34">
        <f t="shared" si="5"/>
        <v>579201.92642504943</v>
      </c>
      <c r="F35" s="43">
        <f t="shared" si="6"/>
        <v>-20120</v>
      </c>
      <c r="G35" s="47">
        <f t="shared" si="0"/>
        <v>1605.0675864325758</v>
      </c>
      <c r="H35" s="60">
        <f t="shared" si="7"/>
        <v>560686.99401148199</v>
      </c>
      <c r="J35" s="74">
        <f t="shared" si="1"/>
        <v>7</v>
      </c>
      <c r="K35" s="48">
        <f t="shared" si="8"/>
        <v>574319.80606317706</v>
      </c>
      <c r="L35" s="43">
        <f t="shared" si="2"/>
        <v>-19143.993535439236</v>
      </c>
      <c r="M35" s="75">
        <f t="shared" si="3"/>
        <v>555175.81252773781</v>
      </c>
      <c r="N35" s="32"/>
      <c r="O35" s="76">
        <f t="shared" si="9"/>
        <v>-140840</v>
      </c>
      <c r="P35" s="39">
        <f t="shared" si="9"/>
        <v>12343.226735669679</v>
      </c>
      <c r="Q35" s="88">
        <f t="shared" si="10"/>
        <v>134007.95474807464</v>
      </c>
      <c r="R35" s="86"/>
    </row>
    <row r="36" spans="2:18" x14ac:dyDescent="0.45">
      <c r="B36" s="7"/>
      <c r="C36" s="19">
        <f t="shared" si="11"/>
        <v>44682</v>
      </c>
      <c r="D36" s="26">
        <f t="shared" si="4"/>
        <v>8</v>
      </c>
      <c r="E36" s="34">
        <f t="shared" si="5"/>
        <v>560686.99401148199</v>
      </c>
      <c r="F36" s="43">
        <f t="shared" si="6"/>
        <v>-20120</v>
      </c>
      <c r="G36" s="47">
        <f t="shared" si="0"/>
        <v>1551.9130906826745</v>
      </c>
      <c r="H36" s="60">
        <f t="shared" si="7"/>
        <v>542118.9071021647</v>
      </c>
      <c r="J36" s="74">
        <f t="shared" si="1"/>
        <v>8</v>
      </c>
      <c r="K36" s="48">
        <f t="shared" si="8"/>
        <v>555175.81252773781</v>
      </c>
      <c r="L36" s="43">
        <f t="shared" si="2"/>
        <v>-19143.993535439236</v>
      </c>
      <c r="M36" s="75">
        <f t="shared" si="3"/>
        <v>536031.81899229856</v>
      </c>
      <c r="N36" s="32"/>
      <c r="O36" s="76">
        <f t="shared" si="9"/>
        <v>-160960</v>
      </c>
      <c r="P36" s="39">
        <f t="shared" si="9"/>
        <v>13895.139826352353</v>
      </c>
      <c r="Q36" s="88">
        <f t="shared" si="10"/>
        <v>153151.94828351389</v>
      </c>
      <c r="R36" s="86"/>
    </row>
    <row r="37" spans="2:18" x14ac:dyDescent="0.45">
      <c r="B37" s="7"/>
      <c r="C37" s="19">
        <f t="shared" si="11"/>
        <v>44713</v>
      </c>
      <c r="D37" s="26">
        <f t="shared" si="4"/>
        <v>9</v>
      </c>
      <c r="E37" s="34">
        <f t="shared" si="5"/>
        <v>542118.9071021647</v>
      </c>
      <c r="F37" s="43">
        <f t="shared" si="6"/>
        <v>-20120</v>
      </c>
      <c r="G37" s="47">
        <f t="shared" si="0"/>
        <v>1498.6059937590117</v>
      </c>
      <c r="H37" s="60">
        <f t="shared" si="7"/>
        <v>523497.5130959237</v>
      </c>
      <c r="J37" s="74">
        <f t="shared" si="1"/>
        <v>9</v>
      </c>
      <c r="K37" s="48">
        <f t="shared" si="8"/>
        <v>536031.81899229856</v>
      </c>
      <c r="L37" s="43">
        <f t="shared" si="2"/>
        <v>-19143.993535439236</v>
      </c>
      <c r="M37" s="75">
        <f t="shared" si="3"/>
        <v>516887.82545685931</v>
      </c>
      <c r="N37" s="32"/>
      <c r="O37" s="76">
        <f t="shared" si="9"/>
        <v>-181080</v>
      </c>
      <c r="P37" s="39">
        <f t="shared" si="9"/>
        <v>15393.745820111366</v>
      </c>
      <c r="Q37" s="88">
        <f t="shared" si="10"/>
        <v>172295.94181895314</v>
      </c>
      <c r="R37" s="86"/>
    </row>
    <row r="38" spans="2:18" x14ac:dyDescent="0.45">
      <c r="B38" s="7"/>
      <c r="C38" s="19">
        <f t="shared" si="11"/>
        <v>44743</v>
      </c>
      <c r="D38" s="26">
        <f t="shared" si="4"/>
        <v>10</v>
      </c>
      <c r="E38" s="34">
        <f t="shared" si="5"/>
        <v>523497.5130959237</v>
      </c>
      <c r="F38" s="43">
        <f t="shared" si="6"/>
        <v>-20120</v>
      </c>
      <c r="G38" s="47">
        <f t="shared" si="0"/>
        <v>1445.145857559073</v>
      </c>
      <c r="H38" s="60">
        <f t="shared" si="7"/>
        <v>504822.65895348275</v>
      </c>
      <c r="J38" s="74">
        <f t="shared" si="1"/>
        <v>10</v>
      </c>
      <c r="K38" s="48">
        <f t="shared" si="8"/>
        <v>516887.82545685931</v>
      </c>
      <c r="L38" s="43">
        <f t="shared" si="2"/>
        <v>-19143.993535439236</v>
      </c>
      <c r="M38" s="75">
        <f t="shared" si="3"/>
        <v>497743.83192142006</v>
      </c>
      <c r="N38" s="32"/>
      <c r="O38" s="76">
        <f t="shared" si="9"/>
        <v>-201200</v>
      </c>
      <c r="P38" s="39">
        <f t="shared" si="9"/>
        <v>16838.891677670439</v>
      </c>
      <c r="Q38" s="88">
        <f t="shared" si="10"/>
        <v>191439.93535439239</v>
      </c>
      <c r="R38" s="87"/>
    </row>
    <row r="39" spans="2:18" x14ac:dyDescent="0.45">
      <c r="B39" s="7"/>
      <c r="C39" s="19">
        <f t="shared" si="11"/>
        <v>44774</v>
      </c>
      <c r="D39" s="26">
        <f t="shared" si="4"/>
        <v>11</v>
      </c>
      <c r="E39" s="34">
        <f t="shared" si="5"/>
        <v>504822.65895348275</v>
      </c>
      <c r="F39" s="43">
        <f t="shared" si="6"/>
        <v>-20120</v>
      </c>
      <c r="G39" s="47">
        <f t="shared" si="0"/>
        <v>1391.5322427225963</v>
      </c>
      <c r="H39" s="60">
        <f t="shared" si="7"/>
        <v>486094.19119620533</v>
      </c>
      <c r="J39" s="74">
        <f t="shared" si="1"/>
        <v>11</v>
      </c>
      <c r="K39" s="48">
        <f t="shared" si="8"/>
        <v>497743.83192142006</v>
      </c>
      <c r="L39" s="43">
        <f t="shared" si="2"/>
        <v>-19143.993535439236</v>
      </c>
      <c r="M39" s="75">
        <f t="shared" si="3"/>
        <v>478599.83838598081</v>
      </c>
      <c r="N39" s="32"/>
      <c r="O39" s="76">
        <f t="shared" si="9"/>
        <v>-221320</v>
      </c>
      <c r="P39" s="39">
        <f t="shared" si="9"/>
        <v>18230.423920393034</v>
      </c>
      <c r="Q39" s="88">
        <f t="shared" si="10"/>
        <v>210583.92888983164</v>
      </c>
      <c r="R39" s="87"/>
    </row>
    <row r="40" spans="2:18" x14ac:dyDescent="0.45">
      <c r="B40" s="7"/>
      <c r="C40" s="19">
        <f t="shared" si="11"/>
        <v>44805</v>
      </c>
      <c r="D40" s="26">
        <f t="shared" si="4"/>
        <v>12</v>
      </c>
      <c r="E40" s="34">
        <f t="shared" si="5"/>
        <v>486094.19119620533</v>
      </c>
      <c r="F40" s="43">
        <f t="shared" si="6"/>
        <v>-20120</v>
      </c>
      <c r="G40" s="47">
        <f t="shared" si="0"/>
        <v>1337.7647086279603</v>
      </c>
      <c r="H40" s="60">
        <f t="shared" si="7"/>
        <v>467311.95590483327</v>
      </c>
      <c r="J40" s="74">
        <f t="shared" si="1"/>
        <v>12</v>
      </c>
      <c r="K40" s="48">
        <f t="shared" si="8"/>
        <v>478599.83838598081</v>
      </c>
      <c r="L40" s="43">
        <f t="shared" si="2"/>
        <v>-19143.993535439236</v>
      </c>
      <c r="M40" s="75">
        <f t="shared" si="3"/>
        <v>459455.84485054156</v>
      </c>
      <c r="N40" s="32"/>
      <c r="O40" s="76">
        <f t="shared" si="9"/>
        <v>-241440</v>
      </c>
      <c r="P40" s="39">
        <f t="shared" si="9"/>
        <v>19568.188629020995</v>
      </c>
      <c r="Q40" s="88">
        <f t="shared" si="10"/>
        <v>229727.9224252709</v>
      </c>
      <c r="R40" s="87"/>
    </row>
    <row r="41" spans="2:18" x14ac:dyDescent="0.45">
      <c r="B41" s="7"/>
      <c r="C41" s="19">
        <f t="shared" si="11"/>
        <v>44835</v>
      </c>
      <c r="D41" s="26">
        <f t="shared" si="4"/>
        <v>13</v>
      </c>
      <c r="E41" s="34">
        <f t="shared" si="5"/>
        <v>467311.95590483327</v>
      </c>
      <c r="F41" s="43">
        <f t="shared" si="6"/>
        <v>-20120</v>
      </c>
      <c r="G41" s="47">
        <f t="shared" si="0"/>
        <v>1283.8428133885641</v>
      </c>
      <c r="H41" s="60">
        <f t="shared" si="7"/>
        <v>448475.79871822183</v>
      </c>
      <c r="J41" s="74">
        <f t="shared" si="1"/>
        <v>13</v>
      </c>
      <c r="K41" s="48">
        <f t="shared" si="8"/>
        <v>459455.84485054156</v>
      </c>
      <c r="L41" s="43">
        <f t="shared" si="2"/>
        <v>-19143.993535439236</v>
      </c>
      <c r="M41" s="75">
        <f t="shared" si="3"/>
        <v>440311.85131510231</v>
      </c>
      <c r="N41" s="32"/>
      <c r="O41" s="76">
        <f t="shared" si="9"/>
        <v>-261560</v>
      </c>
      <c r="P41" s="39">
        <f t="shared" si="9"/>
        <v>20852.03144240956</v>
      </c>
      <c r="Q41" s="88">
        <f t="shared" si="10"/>
        <v>248871.91596071015</v>
      </c>
      <c r="R41" s="87"/>
    </row>
    <row r="42" spans="2:18" x14ac:dyDescent="0.45">
      <c r="B42" s="7"/>
      <c r="C42" s="19">
        <f t="shared" si="11"/>
        <v>44866</v>
      </c>
      <c r="D42" s="26">
        <f t="shared" si="4"/>
        <v>14</v>
      </c>
      <c r="E42" s="34">
        <f t="shared" si="5"/>
        <v>448475.79871822183</v>
      </c>
      <c r="F42" s="43">
        <f t="shared" si="6"/>
        <v>-20120</v>
      </c>
      <c r="G42" s="47">
        <f t="shared" si="0"/>
        <v>1229.7661138491951</v>
      </c>
      <c r="H42" s="60">
        <f t="shared" si="7"/>
        <v>429585.56483207102</v>
      </c>
      <c r="J42" s="74">
        <f t="shared" si="1"/>
        <v>14</v>
      </c>
      <c r="K42" s="48">
        <f t="shared" si="8"/>
        <v>440311.85131510231</v>
      </c>
      <c r="L42" s="43">
        <f t="shared" si="2"/>
        <v>-19143.993535439236</v>
      </c>
      <c r="M42" s="75">
        <f t="shared" si="3"/>
        <v>421167.85777966306</v>
      </c>
      <c r="N42" s="32"/>
      <c r="O42" s="76">
        <f t="shared" si="9"/>
        <v>-281680</v>
      </c>
      <c r="P42" s="39">
        <f t="shared" si="9"/>
        <v>22081.797556258756</v>
      </c>
      <c r="Q42" s="88">
        <f t="shared" si="10"/>
        <v>268015.9094961494</v>
      </c>
      <c r="R42" s="87"/>
    </row>
    <row r="43" spans="2:18" x14ac:dyDescent="0.45">
      <c r="B43" s="7"/>
      <c r="C43" s="19">
        <f t="shared" si="11"/>
        <v>44896</v>
      </c>
      <c r="D43" s="26">
        <f t="shared" si="4"/>
        <v>15</v>
      </c>
      <c r="E43" s="34">
        <f t="shared" si="5"/>
        <v>429585.56483207102</v>
      </c>
      <c r="F43" s="43">
        <f t="shared" si="6"/>
        <v>-20120</v>
      </c>
      <c r="G43" s="47">
        <f t="shared" si="0"/>
        <v>1175.5341655823865</v>
      </c>
      <c r="H43" s="60">
        <f t="shared" si="7"/>
        <v>410641.0989976534</v>
      </c>
      <c r="J43" s="74">
        <f t="shared" si="1"/>
        <v>15</v>
      </c>
      <c r="K43" s="48">
        <f t="shared" si="8"/>
        <v>421167.85777966306</v>
      </c>
      <c r="L43" s="43">
        <f t="shared" si="2"/>
        <v>-19143.993535439236</v>
      </c>
      <c r="M43" s="75">
        <f t="shared" si="3"/>
        <v>402023.86424422381</v>
      </c>
      <c r="N43" s="32"/>
      <c r="O43" s="76">
        <f t="shared" si="9"/>
        <v>-301800</v>
      </c>
      <c r="P43" s="39">
        <f t="shared" si="9"/>
        <v>23257.331721841143</v>
      </c>
      <c r="Q43" s="88">
        <f t="shared" si="10"/>
        <v>287159.90303158865</v>
      </c>
      <c r="R43" s="87"/>
    </row>
    <row r="44" spans="2:18" x14ac:dyDescent="0.45">
      <c r="B44" s="7"/>
      <c r="C44" s="19">
        <f t="shared" si="11"/>
        <v>44927</v>
      </c>
      <c r="D44" s="26">
        <f t="shared" si="4"/>
        <v>16</v>
      </c>
      <c r="E44" s="34">
        <f t="shared" si="5"/>
        <v>410641.0989976534</v>
      </c>
      <c r="F44" s="43">
        <f t="shared" si="6"/>
        <v>-20120</v>
      </c>
      <c r="G44" s="47">
        <f t="shared" si="0"/>
        <v>1121.1465228847658</v>
      </c>
      <c r="H44" s="60">
        <f t="shared" si="7"/>
        <v>391642.24552053818</v>
      </c>
      <c r="J44" s="74">
        <f t="shared" si="1"/>
        <v>16</v>
      </c>
      <c r="K44" s="48">
        <f t="shared" si="8"/>
        <v>402023.86424422381</v>
      </c>
      <c r="L44" s="43">
        <f t="shared" si="2"/>
        <v>-19143.993535439236</v>
      </c>
      <c r="M44" s="75">
        <f t="shared" si="3"/>
        <v>382879.87070878455</v>
      </c>
      <c r="N44" s="32"/>
      <c r="O44" s="76">
        <f t="shared" si="9"/>
        <v>-321920</v>
      </c>
      <c r="P44" s="39">
        <f t="shared" si="9"/>
        <v>24378.478244725909</v>
      </c>
      <c r="Q44" s="88">
        <f t="shared" si="10"/>
        <v>306303.8965670279</v>
      </c>
      <c r="R44" s="87"/>
    </row>
    <row r="45" spans="2:18" x14ac:dyDescent="0.45">
      <c r="B45" s="7"/>
      <c r="C45" s="19">
        <f t="shared" si="11"/>
        <v>44958</v>
      </c>
      <c r="D45" s="26">
        <f t="shared" si="4"/>
        <v>17</v>
      </c>
      <c r="E45" s="34">
        <f t="shared" si="5"/>
        <v>391642.24552053818</v>
      </c>
      <c r="F45" s="43">
        <f t="shared" si="6"/>
        <v>-20120</v>
      </c>
      <c r="G45" s="47">
        <f t="shared" si="0"/>
        <v>1066.6027387733909</v>
      </c>
      <c r="H45" s="60">
        <f t="shared" si="7"/>
        <v>372588.84825931158</v>
      </c>
      <c r="J45" s="74">
        <f t="shared" si="1"/>
        <v>17</v>
      </c>
      <c r="K45" s="48">
        <f t="shared" si="8"/>
        <v>382879.87070878455</v>
      </c>
      <c r="L45" s="43">
        <f t="shared" si="2"/>
        <v>-19143.993535439236</v>
      </c>
      <c r="M45" s="75">
        <f t="shared" si="3"/>
        <v>363735.8771733453</v>
      </c>
      <c r="N45" s="32"/>
      <c r="O45" s="76">
        <f t="shared" si="9"/>
        <v>-342040</v>
      </c>
      <c r="P45" s="39">
        <f t="shared" si="9"/>
        <v>25445.080983499302</v>
      </c>
      <c r="Q45" s="88">
        <f t="shared" si="10"/>
        <v>325447.89010246715</v>
      </c>
      <c r="R45" s="87"/>
    </row>
    <row r="46" spans="2:18" x14ac:dyDescent="0.45">
      <c r="B46" s="7"/>
      <c r="C46" s="19">
        <f t="shared" si="11"/>
        <v>44986</v>
      </c>
      <c r="D46" s="26">
        <f t="shared" si="4"/>
        <v>18</v>
      </c>
      <c r="E46" s="34">
        <f t="shared" si="5"/>
        <v>372588.84825931158</v>
      </c>
      <c r="F46" s="43">
        <f t="shared" si="6"/>
        <v>-20120</v>
      </c>
      <c r="G46" s="47">
        <f t="shared" si="0"/>
        <v>1011.902364982077</v>
      </c>
      <c r="H46" s="60">
        <f t="shared" si="7"/>
        <v>353480.75062429364</v>
      </c>
      <c r="J46" s="74">
        <f t="shared" si="1"/>
        <v>18</v>
      </c>
      <c r="K46" s="48">
        <f t="shared" si="8"/>
        <v>363735.8771733453</v>
      </c>
      <c r="L46" s="43">
        <f t="shared" si="2"/>
        <v>-19143.993535439236</v>
      </c>
      <c r="M46" s="75">
        <f t="shared" si="3"/>
        <v>344591.88363790605</v>
      </c>
      <c r="N46" s="32"/>
      <c r="O46" s="76">
        <f t="shared" ref="O46:P61" si="12">+O45+F46</f>
        <v>-362160</v>
      </c>
      <c r="P46" s="39">
        <f t="shared" si="12"/>
        <v>26456.983348481379</v>
      </c>
      <c r="Q46" s="88">
        <f t="shared" si="10"/>
        <v>344591.8836379064</v>
      </c>
      <c r="R46" s="87"/>
    </row>
    <row r="47" spans="2:18" x14ac:dyDescent="0.45">
      <c r="B47" s="7"/>
      <c r="C47" s="19">
        <f t="shared" si="11"/>
        <v>45017</v>
      </c>
      <c r="D47" s="26">
        <f t="shared" si="4"/>
        <v>19</v>
      </c>
      <c r="E47" s="34">
        <f t="shared" si="5"/>
        <v>353480.75062429364</v>
      </c>
      <c r="F47" s="43">
        <f t="shared" si="6"/>
        <v>-20120</v>
      </c>
      <c r="G47" s="47">
        <f t="shared" si="0"/>
        <v>957.04495195771256</v>
      </c>
      <c r="H47" s="60">
        <f t="shared" si="7"/>
        <v>334317.79557625134</v>
      </c>
      <c r="J47" s="74">
        <f t="shared" si="1"/>
        <v>19</v>
      </c>
      <c r="K47" s="48">
        <f t="shared" si="8"/>
        <v>344591.88363790605</v>
      </c>
      <c r="L47" s="43">
        <f t="shared" si="2"/>
        <v>-19143.993535439236</v>
      </c>
      <c r="M47" s="75">
        <f t="shared" si="3"/>
        <v>325447.8901024668</v>
      </c>
      <c r="N47" s="32"/>
      <c r="O47" s="76">
        <f t="shared" si="12"/>
        <v>-382280</v>
      </c>
      <c r="P47" s="39">
        <f t="shared" si="12"/>
        <v>27414.028300439091</v>
      </c>
      <c r="Q47" s="88">
        <f t="shared" si="10"/>
        <v>363735.87717334565</v>
      </c>
      <c r="R47" s="87"/>
    </row>
    <row r="48" spans="2:18" x14ac:dyDescent="0.45">
      <c r="B48" s="7"/>
      <c r="C48" s="19">
        <f t="shared" si="11"/>
        <v>45047</v>
      </c>
      <c r="D48" s="26">
        <f t="shared" si="4"/>
        <v>20</v>
      </c>
      <c r="E48" s="34">
        <f t="shared" si="5"/>
        <v>334317.79557625134</v>
      </c>
      <c r="F48" s="43">
        <f t="shared" si="6"/>
        <v>-20120</v>
      </c>
      <c r="G48" s="47">
        <f t="shared" si="0"/>
        <v>902.03004885656469</v>
      </c>
      <c r="H48" s="60">
        <f t="shared" si="7"/>
        <v>315099.82562510791</v>
      </c>
      <c r="J48" s="74">
        <f t="shared" si="1"/>
        <v>20</v>
      </c>
      <c r="K48" s="48">
        <f t="shared" si="8"/>
        <v>325447.8901024668</v>
      </c>
      <c r="L48" s="43">
        <f t="shared" si="2"/>
        <v>-19143.993535439236</v>
      </c>
      <c r="M48" s="75">
        <f t="shared" si="3"/>
        <v>306303.89656702755</v>
      </c>
      <c r="N48" s="32"/>
      <c r="O48" s="76">
        <f t="shared" si="12"/>
        <v>-402400</v>
      </c>
      <c r="P48" s="39">
        <f t="shared" si="12"/>
        <v>28316.058349295658</v>
      </c>
      <c r="Q48" s="88">
        <f t="shared" si="10"/>
        <v>382879.8707087849</v>
      </c>
      <c r="R48" s="87"/>
    </row>
    <row r="49" spans="2:18" x14ac:dyDescent="0.45">
      <c r="B49" s="7"/>
      <c r="C49" s="19">
        <f t="shared" si="11"/>
        <v>45078</v>
      </c>
      <c r="D49" s="26">
        <f t="shared" si="4"/>
        <v>21</v>
      </c>
      <c r="E49" s="34">
        <f t="shared" si="5"/>
        <v>315099.82562510791</v>
      </c>
      <c r="F49" s="43">
        <f t="shared" si="6"/>
        <v>-20120</v>
      </c>
      <c r="G49" s="47">
        <f t="shared" si="0"/>
        <v>846.85720354057355</v>
      </c>
      <c r="H49" s="60">
        <f t="shared" si="7"/>
        <v>295826.68282864848</v>
      </c>
      <c r="J49" s="74">
        <f t="shared" si="1"/>
        <v>21</v>
      </c>
      <c r="K49" s="48">
        <f t="shared" si="8"/>
        <v>306303.89656702755</v>
      </c>
      <c r="L49" s="43">
        <f t="shared" si="2"/>
        <v>-19143.993535439236</v>
      </c>
      <c r="M49" s="75">
        <f t="shared" si="3"/>
        <v>287159.9030315883</v>
      </c>
      <c r="N49" s="80"/>
      <c r="O49" s="76">
        <f t="shared" si="12"/>
        <v>-422520</v>
      </c>
      <c r="P49" s="39">
        <f t="shared" si="12"/>
        <v>29162.915552836232</v>
      </c>
      <c r="Q49" s="88">
        <f t="shared" si="10"/>
        <v>402023.86424422415</v>
      </c>
      <c r="R49" s="87"/>
    </row>
    <row r="50" spans="2:18" x14ac:dyDescent="0.45">
      <c r="B50" s="7"/>
      <c r="C50" s="19">
        <f t="shared" si="11"/>
        <v>45108</v>
      </c>
      <c r="D50" s="26">
        <f t="shared" si="4"/>
        <v>22</v>
      </c>
      <c r="E50" s="34">
        <f t="shared" si="5"/>
        <v>295826.68282864848</v>
      </c>
      <c r="F50" s="43">
        <f t="shared" si="6"/>
        <v>-20120</v>
      </c>
      <c r="G50" s="47">
        <f t="shared" si="0"/>
        <v>791.525962573637</v>
      </c>
      <c r="H50" s="60">
        <f t="shared" si="7"/>
        <v>276498.20879122213</v>
      </c>
      <c r="J50" s="74">
        <f t="shared" si="1"/>
        <v>22</v>
      </c>
      <c r="K50" s="48">
        <f t="shared" si="8"/>
        <v>287159.9030315883</v>
      </c>
      <c r="L50" s="43">
        <f t="shared" si="2"/>
        <v>-19143.993535439236</v>
      </c>
      <c r="M50" s="75">
        <f t="shared" si="3"/>
        <v>268015.90949614905</v>
      </c>
      <c r="N50" s="32"/>
      <c r="O50" s="76">
        <f t="shared" si="12"/>
        <v>-442640</v>
      </c>
      <c r="P50" s="39">
        <f t="shared" si="12"/>
        <v>29954.441515409868</v>
      </c>
      <c r="Q50" s="88">
        <f t="shared" si="10"/>
        <v>421167.85777966341</v>
      </c>
      <c r="R50" s="32"/>
    </row>
    <row r="51" spans="2:18" x14ac:dyDescent="0.45">
      <c r="B51" s="7"/>
      <c r="C51" s="19">
        <f t="shared" si="11"/>
        <v>45139</v>
      </c>
      <c r="D51" s="26">
        <f t="shared" si="4"/>
        <v>23</v>
      </c>
      <c r="E51" s="34">
        <f t="shared" si="5"/>
        <v>276498.20879122213</v>
      </c>
      <c r="F51" s="43">
        <f t="shared" si="6"/>
        <v>-20120</v>
      </c>
      <c r="G51" s="47">
        <f t="shared" si="0"/>
        <v>736.0358712178836</v>
      </c>
      <c r="H51" s="60">
        <f t="shared" si="7"/>
        <v>257114.24466244</v>
      </c>
      <c r="J51" s="74">
        <f t="shared" si="1"/>
        <v>23</v>
      </c>
      <c r="K51" s="48">
        <f t="shared" si="8"/>
        <v>268015.90949614905</v>
      </c>
      <c r="L51" s="43">
        <f t="shared" si="2"/>
        <v>-19143.993535439236</v>
      </c>
      <c r="M51" s="75">
        <f t="shared" si="3"/>
        <v>248871.9159607098</v>
      </c>
      <c r="N51" s="32"/>
      <c r="O51" s="76">
        <f t="shared" si="12"/>
        <v>-462760</v>
      </c>
      <c r="P51" s="39">
        <f t="shared" si="12"/>
        <v>30690.47738662775</v>
      </c>
      <c r="Q51" s="88">
        <f t="shared" si="10"/>
        <v>440311.85131510266</v>
      </c>
      <c r="R51" s="32"/>
    </row>
    <row r="52" spans="2:18" x14ac:dyDescent="0.45">
      <c r="B52" s="7"/>
      <c r="C52" s="19">
        <f t="shared" si="11"/>
        <v>45170</v>
      </c>
      <c r="D52" s="26">
        <f t="shared" si="4"/>
        <v>24</v>
      </c>
      <c r="E52" s="34">
        <f t="shared" si="5"/>
        <v>257114.24466244</v>
      </c>
      <c r="F52" s="43">
        <f t="shared" si="6"/>
        <v>-20120</v>
      </c>
      <c r="G52" s="47">
        <f t="shared" si="0"/>
        <v>680.38647342993534</v>
      </c>
      <c r="H52" s="60">
        <f t="shared" si="7"/>
        <v>237674.63113586995</v>
      </c>
      <c r="J52" s="74">
        <f t="shared" si="1"/>
        <v>24</v>
      </c>
      <c r="K52" s="48">
        <f t="shared" si="8"/>
        <v>248871.9159607098</v>
      </c>
      <c r="L52" s="43">
        <f t="shared" si="2"/>
        <v>-19143.993535439236</v>
      </c>
      <c r="M52" s="75">
        <f t="shared" si="3"/>
        <v>229727.92242527055</v>
      </c>
      <c r="N52" s="32"/>
      <c r="O52" s="76">
        <f t="shared" si="12"/>
        <v>-482880</v>
      </c>
      <c r="P52" s="39">
        <f t="shared" si="12"/>
        <v>31370.863860057685</v>
      </c>
      <c r="Q52" s="88">
        <f t="shared" si="10"/>
        <v>459455.84485054191</v>
      </c>
      <c r="R52" s="32"/>
    </row>
    <row r="53" spans="2:18" x14ac:dyDescent="0.45">
      <c r="B53" s="7"/>
      <c r="C53" s="19">
        <f t="shared" si="11"/>
        <v>45200</v>
      </c>
      <c r="D53" s="26">
        <f t="shared" si="4"/>
        <v>25</v>
      </c>
      <c r="E53" s="34">
        <f t="shared" si="5"/>
        <v>237674.63113586995</v>
      </c>
      <c r="F53" s="43">
        <f t="shared" si="6"/>
        <v>-20120</v>
      </c>
      <c r="G53" s="47">
        <f t="shared" si="0"/>
        <v>624.57731185716045</v>
      </c>
      <c r="H53" s="60">
        <f t="shared" si="7"/>
        <v>218179.20844772711</v>
      </c>
      <c r="J53" s="74">
        <f t="shared" si="1"/>
        <v>25</v>
      </c>
      <c r="K53" s="48">
        <f t="shared" si="8"/>
        <v>229727.92242527055</v>
      </c>
      <c r="L53" s="43">
        <f t="shared" si="2"/>
        <v>-19143.993535439236</v>
      </c>
      <c r="M53" s="75">
        <f t="shared" si="3"/>
        <v>210583.9288898313</v>
      </c>
      <c r="N53" s="32"/>
      <c r="O53" s="76">
        <f t="shared" si="12"/>
        <v>-503000</v>
      </c>
      <c r="P53" s="39">
        <f t="shared" si="12"/>
        <v>31995.441171914845</v>
      </c>
      <c r="Q53" s="88">
        <f t="shared" si="10"/>
        <v>478599.83838598116</v>
      </c>
      <c r="R53" s="32"/>
    </row>
    <row r="54" spans="2:18" x14ac:dyDescent="0.45">
      <c r="B54" s="7"/>
      <c r="C54" s="19">
        <f t="shared" si="11"/>
        <v>45231</v>
      </c>
      <c r="D54" s="26">
        <f t="shared" si="4"/>
        <v>26</v>
      </c>
      <c r="E54" s="34">
        <f t="shared" si="5"/>
        <v>218179.20844772711</v>
      </c>
      <c r="F54" s="43">
        <f t="shared" si="6"/>
        <v>-20120</v>
      </c>
      <c r="G54" s="47">
        <f t="shared" si="0"/>
        <v>568.60792783391344</v>
      </c>
      <c r="H54" s="60">
        <f t="shared" si="7"/>
        <v>198627.81637556103</v>
      </c>
      <c r="J54" s="74">
        <f t="shared" si="1"/>
        <v>26</v>
      </c>
      <c r="K54" s="48">
        <f t="shared" si="8"/>
        <v>210583.9288898313</v>
      </c>
      <c r="L54" s="43">
        <f t="shared" si="2"/>
        <v>-19143.993535439236</v>
      </c>
      <c r="M54" s="75">
        <f t="shared" si="3"/>
        <v>191439.93535439204</v>
      </c>
      <c r="N54" s="32"/>
      <c r="O54" s="76">
        <f t="shared" si="12"/>
        <v>-523120</v>
      </c>
      <c r="P54" s="39">
        <f t="shared" si="12"/>
        <v>32564.049099748758</v>
      </c>
      <c r="Q54" s="88">
        <f t="shared" si="10"/>
        <v>497743.83192142041</v>
      </c>
      <c r="R54" s="32"/>
    </row>
    <row r="55" spans="2:18" x14ac:dyDescent="0.45">
      <c r="B55" s="7"/>
      <c r="C55" s="19">
        <f t="shared" si="11"/>
        <v>45261</v>
      </c>
      <c r="D55" s="26">
        <f t="shared" si="4"/>
        <v>27</v>
      </c>
      <c r="E55" s="34">
        <f t="shared" si="5"/>
        <v>198627.81637556103</v>
      </c>
      <c r="F55" s="43">
        <f t="shared" si="6"/>
        <v>-20120</v>
      </c>
      <c r="G55" s="47">
        <f t="shared" si="0"/>
        <v>512.47786137776666</v>
      </c>
      <c r="H55" s="60">
        <f t="shared" si="7"/>
        <v>179020.29423693879</v>
      </c>
      <c r="J55" s="74">
        <f t="shared" si="1"/>
        <v>27</v>
      </c>
      <c r="K55" s="48">
        <f t="shared" si="8"/>
        <v>191439.93535439204</v>
      </c>
      <c r="L55" s="43">
        <f t="shared" si="2"/>
        <v>-19143.993535439236</v>
      </c>
      <c r="M55" s="75">
        <f t="shared" si="3"/>
        <v>172295.94181895279</v>
      </c>
      <c r="N55" s="32"/>
      <c r="O55" s="76">
        <f t="shared" si="12"/>
        <v>-543240</v>
      </c>
      <c r="P55" s="39">
        <f t="shared" si="12"/>
        <v>33076.526961126525</v>
      </c>
      <c r="Q55" s="88">
        <f t="shared" si="10"/>
        <v>516887.82545685966</v>
      </c>
      <c r="R55" s="32"/>
    </row>
    <row r="56" spans="2:18" x14ac:dyDescent="0.45">
      <c r="B56" s="7"/>
      <c r="C56" s="19">
        <f t="shared" si="11"/>
        <v>45292</v>
      </c>
      <c r="D56" s="26">
        <f t="shared" si="4"/>
        <v>28</v>
      </c>
      <c r="E56" s="34">
        <f t="shared" si="5"/>
        <v>179020.29423693879</v>
      </c>
      <c r="F56" s="43">
        <f t="shared" si="6"/>
        <v>-20120</v>
      </c>
      <c r="G56" s="47">
        <f t="shared" si="0"/>
        <v>456.18665118572909</v>
      </c>
      <c r="H56" s="60">
        <f t="shared" si="7"/>
        <v>159356.48088812453</v>
      </c>
      <c r="J56" s="74">
        <f t="shared" si="1"/>
        <v>28</v>
      </c>
      <c r="K56" s="48">
        <f t="shared" si="8"/>
        <v>172295.94181895279</v>
      </c>
      <c r="L56" s="43">
        <f t="shared" si="2"/>
        <v>-19143.993535439236</v>
      </c>
      <c r="M56" s="75">
        <f t="shared" si="3"/>
        <v>153151.94828351354</v>
      </c>
      <c r="N56" s="32"/>
      <c r="O56" s="76">
        <f t="shared" si="12"/>
        <v>-563360</v>
      </c>
      <c r="P56" s="39">
        <f t="shared" si="12"/>
        <v>33532.713612312255</v>
      </c>
      <c r="Q56" s="88">
        <f t="shared" si="10"/>
        <v>536031.81899229891</v>
      </c>
      <c r="R56" s="32"/>
    </row>
    <row r="57" spans="2:18" x14ac:dyDescent="0.45">
      <c r="B57" s="7"/>
      <c r="C57" s="19">
        <f t="shared" si="11"/>
        <v>45323</v>
      </c>
      <c r="D57" s="26">
        <f t="shared" si="4"/>
        <v>29</v>
      </c>
      <c r="E57" s="34">
        <f t="shared" si="5"/>
        <v>159356.48088812453</v>
      </c>
      <c r="F57" s="43">
        <f t="shared" si="6"/>
        <v>-20120</v>
      </c>
      <c r="G57" s="47">
        <f t="shared" si="0"/>
        <v>399.73383463045604</v>
      </c>
      <c r="H57" s="60">
        <f t="shared" si="7"/>
        <v>139636.21472275499</v>
      </c>
      <c r="J57" s="74">
        <f t="shared" si="1"/>
        <v>29</v>
      </c>
      <c r="K57" s="48">
        <f t="shared" si="8"/>
        <v>153151.94828351354</v>
      </c>
      <c r="L57" s="43">
        <f t="shared" si="2"/>
        <v>-19143.993535439236</v>
      </c>
      <c r="M57" s="75">
        <f t="shared" si="3"/>
        <v>134007.95474807429</v>
      </c>
      <c r="N57" s="32"/>
      <c r="O57" s="76">
        <f t="shared" si="12"/>
        <v>-583480</v>
      </c>
      <c r="P57" s="39">
        <f t="shared" si="12"/>
        <v>33932.447446942708</v>
      </c>
      <c r="Q57" s="88">
        <f t="shared" si="10"/>
        <v>555175.81252773816</v>
      </c>
      <c r="R57" s="32"/>
    </row>
    <row r="58" spans="2:18" x14ac:dyDescent="0.45">
      <c r="B58" s="7"/>
      <c r="C58" s="19">
        <f t="shared" si="11"/>
        <v>45352</v>
      </c>
      <c r="D58" s="26">
        <f t="shared" si="4"/>
        <v>30</v>
      </c>
      <c r="E58" s="34">
        <f t="shared" si="5"/>
        <v>139636.21472275499</v>
      </c>
      <c r="F58" s="43">
        <f t="shared" si="6"/>
        <v>-20120</v>
      </c>
      <c r="G58" s="47">
        <f t="shared" si="0"/>
        <v>343.11894775644623</v>
      </c>
      <c r="H58" s="60">
        <f t="shared" si="7"/>
        <v>119859.33367051143</v>
      </c>
      <c r="J58" s="74">
        <f t="shared" si="1"/>
        <v>30</v>
      </c>
      <c r="K58" s="48">
        <f t="shared" si="8"/>
        <v>134007.95474807429</v>
      </c>
      <c r="L58" s="43">
        <f t="shared" si="2"/>
        <v>-19143.993535439236</v>
      </c>
      <c r="M58" s="75">
        <f t="shared" si="3"/>
        <v>114863.96121263505</v>
      </c>
      <c r="N58" s="32"/>
      <c r="O58" s="76">
        <f t="shared" si="12"/>
        <v>-603600</v>
      </c>
      <c r="P58" s="39">
        <f t="shared" si="12"/>
        <v>34275.566394699155</v>
      </c>
      <c r="Q58" s="88">
        <f t="shared" si="10"/>
        <v>574319.80606317741</v>
      </c>
      <c r="R58" s="32"/>
    </row>
    <row r="59" spans="2:18" x14ac:dyDescent="0.45">
      <c r="B59" s="7"/>
      <c r="C59" s="19">
        <f t="shared" si="11"/>
        <v>45383</v>
      </c>
      <c r="D59" s="26">
        <f t="shared" si="4"/>
        <v>31</v>
      </c>
      <c r="E59" s="34">
        <f t="shared" si="5"/>
        <v>119859.33367051143</v>
      </c>
      <c r="F59" s="43">
        <f t="shared" si="6"/>
        <v>-20120</v>
      </c>
      <c r="G59" s="47">
        <f t="shared" si="0"/>
        <v>286.34152527622911</v>
      </c>
      <c r="H59" s="60">
        <f t="shared" si="7"/>
        <v>100025.67519578767</v>
      </c>
      <c r="J59" s="74">
        <f t="shared" si="1"/>
        <v>31</v>
      </c>
      <c r="K59" s="48">
        <f t="shared" si="8"/>
        <v>114863.96121263505</v>
      </c>
      <c r="L59" s="43">
        <f t="shared" si="2"/>
        <v>-19143.993535439236</v>
      </c>
      <c r="M59" s="75">
        <f t="shared" si="3"/>
        <v>95719.967677195818</v>
      </c>
      <c r="N59" s="32"/>
      <c r="O59" s="76">
        <f t="shared" si="12"/>
        <v>-623720</v>
      </c>
      <c r="P59" s="39">
        <f t="shared" si="12"/>
        <v>34561.907919975383</v>
      </c>
      <c r="Q59" s="88">
        <f t="shared" si="10"/>
        <v>593463.79959861666</v>
      </c>
      <c r="R59" s="32"/>
    </row>
    <row r="60" spans="2:18" x14ac:dyDescent="0.45">
      <c r="B60" s="7"/>
      <c r="C60" s="19">
        <f t="shared" si="11"/>
        <v>45413</v>
      </c>
      <c r="D60" s="26">
        <f t="shared" si="4"/>
        <v>32</v>
      </c>
      <c r="E60" s="34">
        <f t="shared" si="5"/>
        <v>100025.67519578767</v>
      </c>
      <c r="F60" s="43">
        <f t="shared" si="6"/>
        <v>-20120</v>
      </c>
      <c r="G60" s="47">
        <f t="shared" si="0"/>
        <v>229.40110056654103</v>
      </c>
      <c r="H60" s="60">
        <f t="shared" si="7"/>
        <v>80135.076296354207</v>
      </c>
      <c r="J60" s="74">
        <f t="shared" si="1"/>
        <v>32</v>
      </c>
      <c r="K60" s="48">
        <f t="shared" si="8"/>
        <v>95719.967677195818</v>
      </c>
      <c r="L60" s="43">
        <f t="shared" si="2"/>
        <v>-19143.993535439236</v>
      </c>
      <c r="M60" s="75">
        <f t="shared" si="3"/>
        <v>76575.974141756582</v>
      </c>
      <c r="N60" s="32"/>
      <c r="O60" s="76">
        <f t="shared" si="12"/>
        <v>-643840</v>
      </c>
      <c r="P60" s="39">
        <f t="shared" si="12"/>
        <v>34791.309020541921</v>
      </c>
      <c r="Q60" s="88">
        <f t="shared" si="10"/>
        <v>612607.79313405592</v>
      </c>
      <c r="R60" s="32"/>
    </row>
    <row r="61" spans="2:18" x14ac:dyDescent="0.45">
      <c r="B61" s="7"/>
      <c r="C61" s="19">
        <f t="shared" si="11"/>
        <v>45444</v>
      </c>
      <c r="D61" s="26">
        <f t="shared" si="4"/>
        <v>33</v>
      </c>
      <c r="E61" s="34">
        <f t="shared" si="5"/>
        <v>80135.076296354207</v>
      </c>
      <c r="F61" s="43">
        <f t="shared" si="6"/>
        <v>-20120</v>
      </c>
      <c r="G61" s="47">
        <f t="shared" si="0"/>
        <v>172.29720566449024</v>
      </c>
      <c r="H61" s="60">
        <f t="shared" si="7"/>
        <v>60187.373502018694</v>
      </c>
      <c r="J61" s="74">
        <f t="shared" si="1"/>
        <v>33</v>
      </c>
      <c r="K61" s="48">
        <f t="shared" si="8"/>
        <v>76575.974141756582</v>
      </c>
      <c r="L61" s="43">
        <f t="shared" si="2"/>
        <v>-19143.993535439236</v>
      </c>
      <c r="M61" s="75">
        <f t="shared" si="3"/>
        <v>57431.980606317346</v>
      </c>
      <c r="N61" s="32"/>
      <c r="O61" s="76">
        <f t="shared" si="12"/>
        <v>-663960</v>
      </c>
      <c r="P61" s="39">
        <f t="shared" si="12"/>
        <v>34963.606226206408</v>
      </c>
      <c r="Q61" s="88">
        <f t="shared" si="10"/>
        <v>631751.78666949517</v>
      </c>
      <c r="R61" s="32"/>
    </row>
    <row r="62" spans="2:18" x14ac:dyDescent="0.45">
      <c r="B62" s="7"/>
      <c r="C62" s="19">
        <f t="shared" si="11"/>
        <v>45474</v>
      </c>
      <c r="D62" s="26">
        <f t="shared" si="4"/>
        <v>34</v>
      </c>
      <c r="E62" s="34">
        <f t="shared" si="5"/>
        <v>60187.373502018694</v>
      </c>
      <c r="F62" s="43">
        <f t="shared" si="6"/>
        <v>-20120</v>
      </c>
      <c r="G62" s="47">
        <f t="shared" si="0"/>
        <v>115.02937126371086</v>
      </c>
      <c r="H62" s="60">
        <f t="shared" si="7"/>
        <v>40182.402873282408</v>
      </c>
      <c r="J62" s="74">
        <f t="shared" si="1"/>
        <v>34</v>
      </c>
      <c r="K62" s="48">
        <f t="shared" si="8"/>
        <v>57431.980606317346</v>
      </c>
      <c r="L62" s="43">
        <f t="shared" si="2"/>
        <v>-19143.993535439236</v>
      </c>
      <c r="M62" s="75">
        <f t="shared" si="3"/>
        <v>38287.987070878109</v>
      </c>
      <c r="N62" s="32"/>
      <c r="O62" s="76">
        <f t="shared" ref="O62:P64" si="13">+O61+F62</f>
        <v>-684080</v>
      </c>
      <c r="P62" s="39">
        <f t="shared" si="13"/>
        <v>35078.635597470122</v>
      </c>
      <c r="Q62" s="88">
        <f t="shared" si="10"/>
        <v>650895.78020493442</v>
      </c>
      <c r="R62" s="32"/>
    </row>
    <row r="63" spans="2:18" x14ac:dyDescent="0.45">
      <c r="B63" s="7"/>
      <c r="C63" s="19">
        <f t="shared" si="11"/>
        <v>45505</v>
      </c>
      <c r="D63" s="26">
        <f t="shared" si="4"/>
        <v>35</v>
      </c>
      <c r="E63" s="34">
        <f t="shared" si="5"/>
        <v>40182.402873282408</v>
      </c>
      <c r="F63" s="43">
        <f t="shared" si="6"/>
        <v>-20120</v>
      </c>
      <c r="G63" s="47">
        <f t="shared" si="0"/>
        <v>57.597126710506011</v>
      </c>
      <c r="H63" s="60">
        <f t="shared" si="7"/>
        <v>20119.999999992913</v>
      </c>
      <c r="J63" s="74">
        <f t="shared" si="1"/>
        <v>35</v>
      </c>
      <c r="K63" s="48">
        <f t="shared" si="8"/>
        <v>38287.987070878109</v>
      </c>
      <c r="L63" s="43">
        <f t="shared" si="2"/>
        <v>-19143.993535439236</v>
      </c>
      <c r="M63" s="75">
        <f t="shared" si="3"/>
        <v>19143.993535438873</v>
      </c>
      <c r="N63" s="32"/>
      <c r="O63" s="76">
        <f t="shared" si="13"/>
        <v>-704200</v>
      </c>
      <c r="P63" s="39">
        <f t="shared" si="13"/>
        <v>35136.232724180627</v>
      </c>
      <c r="Q63" s="88">
        <f t="shared" si="10"/>
        <v>670039.77374037367</v>
      </c>
      <c r="R63" s="32"/>
    </row>
    <row r="64" spans="2:18" x14ac:dyDescent="0.45">
      <c r="B64" s="7"/>
      <c r="C64" s="19">
        <f t="shared" si="11"/>
        <v>45536</v>
      </c>
      <c r="D64" s="26">
        <f t="shared" si="4"/>
        <v>36</v>
      </c>
      <c r="E64" s="34">
        <f t="shared" si="5"/>
        <v>20119.999999992913</v>
      </c>
      <c r="F64" s="43">
        <f t="shared" si="6"/>
        <v>-20120</v>
      </c>
      <c r="G64" s="47">
        <f t="shared" si="0"/>
        <v>-2.0345435422355145E-11</v>
      </c>
      <c r="H64" s="60">
        <f t="shared" si="7"/>
        <v>-7.1071281516370118E-9</v>
      </c>
      <c r="J64" s="74">
        <f t="shared" si="1"/>
        <v>36</v>
      </c>
      <c r="K64" s="48">
        <f t="shared" si="8"/>
        <v>19143.993535438873</v>
      </c>
      <c r="L64" s="43">
        <f t="shared" si="2"/>
        <v>-19143.993535439236</v>
      </c>
      <c r="M64" s="75">
        <f t="shared" si="3"/>
        <v>-3.637978807091713E-10</v>
      </c>
      <c r="N64" s="32"/>
      <c r="O64" s="76">
        <f t="shared" si="13"/>
        <v>-724320</v>
      </c>
      <c r="P64" s="39">
        <f t="shared" si="13"/>
        <v>35136.232724180605</v>
      </c>
      <c r="Q64" s="88">
        <f t="shared" si="10"/>
        <v>689183.76727581292</v>
      </c>
      <c r="R64" s="32"/>
    </row>
    <row r="65" spans="2:18" x14ac:dyDescent="0.45">
      <c r="B65" s="7"/>
      <c r="C65" s="19">
        <f t="shared" si="11"/>
        <v>45566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89"/>
      <c r="P65" s="8"/>
      <c r="Q65" s="90"/>
      <c r="R65" s="32"/>
    </row>
    <row r="66" spans="2:18" x14ac:dyDescent="0.45">
      <c r="B66" s="7"/>
      <c r="C66" s="19">
        <f t="shared" si="11"/>
        <v>45597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89"/>
      <c r="P66" s="8"/>
      <c r="Q66" s="90"/>
      <c r="R66" s="32"/>
    </row>
    <row r="67" spans="2:18" x14ac:dyDescent="0.45">
      <c r="B67" s="7"/>
      <c r="C67" s="19">
        <f t="shared" si="11"/>
        <v>45627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89"/>
      <c r="P67" s="8"/>
      <c r="Q67" s="90"/>
      <c r="R67" s="32"/>
    </row>
    <row r="68" spans="2:18" x14ac:dyDescent="0.45">
      <c r="B68" s="7"/>
      <c r="C68" s="19">
        <f t="shared" si="11"/>
        <v>45658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45689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45717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45748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45778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45809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45839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45870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45901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45931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45962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45992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46023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46054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46082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46113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46143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46174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46204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46235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46266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46296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46327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46357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46388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46419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46447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4">DATE(YEAR(C94),MONTH(C94)+1,DAY(C94))</f>
        <v>46478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4"/>
        <v>46508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4"/>
        <v>46539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4"/>
        <v>46569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4"/>
        <v>46600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4"/>
        <v>46631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4"/>
        <v>46661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4"/>
        <v>46692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4"/>
        <v>46722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4"/>
        <v>46753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4"/>
        <v>46784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4"/>
        <v>46813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4"/>
        <v>46844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-6.8685039877891541E-9</v>
      </c>
      <c r="F110" s="43">
        <f>SUM(F29:F107)</f>
        <v>-724320</v>
      </c>
      <c r="G110" s="43">
        <f>SUM(G29:G107)</f>
        <v>35136.232724180605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2:12" x14ac:dyDescent="0.45">
      <c r="D113" s="126" t="s">
        <v>247</v>
      </c>
      <c r="E113" s="125"/>
      <c r="F113" s="124" t="s">
        <v>248</v>
      </c>
      <c r="G113" s="123">
        <v>44561</v>
      </c>
    </row>
    <row r="114" spans="2:12" x14ac:dyDescent="0.45">
      <c r="D114" s="26"/>
      <c r="E114" s="8"/>
      <c r="F114" s="122" t="s">
        <v>218</v>
      </c>
      <c r="G114" s="121" t="s">
        <v>218</v>
      </c>
    </row>
    <row r="115" spans="2:12" x14ac:dyDescent="0.45">
      <c r="D115" s="115" t="s">
        <v>249</v>
      </c>
      <c r="E115" s="8"/>
      <c r="F115" s="120"/>
      <c r="G115" s="117"/>
    </row>
    <row r="116" spans="2:12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689183.76727581257</v>
      </c>
      <c r="G116" s="119">
        <f>INDEX(M:M,MATCH(DATE(2021,12,DAY(D10)),C:C))</f>
        <v>631751.78666949482</v>
      </c>
      <c r="I116" s="104"/>
    </row>
    <row r="117" spans="2:12" x14ac:dyDescent="0.45">
      <c r="D117" s="115"/>
      <c r="E117" s="8"/>
      <c r="F117" s="118"/>
      <c r="G117" s="117"/>
    </row>
    <row r="118" spans="2:12" x14ac:dyDescent="0.45">
      <c r="D118" s="115" t="s">
        <v>251</v>
      </c>
      <c r="E118" s="8"/>
      <c r="F118" s="118"/>
      <c r="G118" s="117"/>
    </row>
    <row r="119" spans="2:12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-54754.45111804815</v>
      </c>
      <c r="G119" s="113">
        <f ca="1">IFERROR(SUM(INDIRECT("F"&amp;MATCH(DATE(2022,1,DAY(D10)),C:C)):INDIRECT("G"&amp;MATCH(DATE(2022,1,DAY(D10)),C:C)+11)),VALUE("0"))</f>
        <v>-223788.21716011074</v>
      </c>
      <c r="I119" s="3" cm="1">
        <f t="array" aca="1" ref="I119" ca="1">IF(YEAR(INDIRECT("'"&amp;F3&amp;"'!"&amp;"D10"))&lt;2021=TRUE,SUM(INDIRECT("'"&amp;F3&amp;"'!"&amp;"F"&amp;MATCH(DATE(2021,1,DAY(INDIRECT("'"&amp;F3&amp;"'!"&amp;"D10"))),INDIRECT("'"&amp;F3&amp;"'!"&amp;"C:C"))):INDIRECT("G"&amp;MATCH(DATE(2021,12,DAY(INDIRECT("'"&amp;F3&amp;"'!"&amp;"D10"))),INDIRECT("'"&amp;F3&amp;"'!"&amp;"C:C")))),SUM(INDIRECT("F"&amp;MATCH(DATE(2021,MAX(1,MONTH(INDIRECT("'"&amp;F3&amp;"'!"&amp;"D10"))),DAY(INDIRECT("'"&amp;F3&amp;"'!"&amp;"D10"))),INDIRECT("'"&amp;F3&amp;"'!"&amp;"C:C"))):INDIRECT("G"&amp;MATCH(DATE(2021,12,DAY(INDIRECT("'"&amp;F3&amp;"'!"&amp;"D10"))),INDIRECT("'"&amp;F3&amp;"'!"&amp;"C:C")))))</f>
        <v>-54754.45111804815</v>
      </c>
      <c r="J119" s="3" cm="1">
        <f t="array" aca="1" ref="J119" ca="1">IF(YEAR(INDIRECT("'"&amp;F3&amp;"'!"&amp;"D10"))&lt;2021=TRUE,SUM(INDIRECT("F"&amp;MATCH(DATE(2021,1,DAY(INDIRECT("'"&amp;F3&amp;"'!"&amp;"D10"))),INDIRECT("'"&amp;F3&amp;"'!"&amp;"C:C"))):INDIRECT("F"&amp;MATCH(DATE(2021,12,DAY(INDIRECT("'"&amp;F3&amp;"'!"&amp;"D10"))),INDIRECT("'"&amp;F3&amp;"'!"&amp;"C:C")))),SUM(INDIRECT("F"&amp;MATCH(DATE(2021,MAX(1,MONTH(INDIRECT("'"&amp;F3&amp;"'!"&amp;"D10"))),DAY(INDIRECT("'"&amp;F3&amp;"'!"&amp;"D10"))),INDIRECT("'"&amp;F3&amp;"'!"&amp;"C:C"))):INDIRECT("F"&amp;MATCH(DATE(2021,12,DAY(INDIRECT("'"&amp;F3&amp;"'!"&amp;"D10"))),INDIRECT("'"&amp;F3&amp;"'!"&amp;"C:C")))))</f>
        <v>-60360</v>
      </c>
    </row>
    <row r="120" spans="2:12" x14ac:dyDescent="0.45">
      <c r="D120" s="114"/>
      <c r="E120" s="8"/>
      <c r="F120" s="108"/>
      <c r="G120" s="113"/>
    </row>
    <row r="121" spans="2:12" ht="14.65" thickBot="1" x14ac:dyDescent="0.5">
      <c r="B121" cm="1">
        <f t="array" aca="1" ref="B121" ca="1">IF(YEAR(INDIRECT("'"&amp;F3&amp;"'!"&amp;"D10"))&lt;2021=TRUE,SUM(INDIRECT("F"&amp;MATCH(DATE(2021,1,DAY(INDIRECT("'"&amp;F3&amp;"'!"&amp;"D10"))),INDIRECT("'"&amp;F3&amp;"'!"&amp;"C:C"))):INDIRECT("G"&amp;MATCH(DATE(2021,12,DAY(INDIRECT("'"&amp;F3&amp;"'!"&amp;"D10"))),INDIRECT("'"&amp;F3&amp;"'!"&amp;"C:C")))),SUM(INDIRECT("F"&amp;MATCH(DATE(2021,MAX(1,MONTH(INDIRECT("'"&amp;F3&amp;"'!"&amp;"D10"))),DAY(INDIRECT("'"&amp;F3&amp;"'!"&amp;"D10"))),INDIRECT("'"&amp;F3&amp;"'!"&amp;"C:C"))):INDIRECT("G"&amp;MATCH(DATE(2021,12,DAY(INDIRECT("'"&amp;F3&amp;"'!"&amp;"D10"))),INDIRECT("'"&amp;F3&amp;"'!"&amp;"C:C")))))</f>
        <v>-54754.45111804815</v>
      </c>
      <c r="D121" s="114"/>
      <c r="E121" s="8"/>
      <c r="F121"/>
      <c r="G121" s="116"/>
    </row>
    <row r="122" spans="2:12" x14ac:dyDescent="0.45">
      <c r="D122" s="115" t="s">
        <v>252</v>
      </c>
      <c r="E122" s="8"/>
      <c r="F122"/>
      <c r="G122" s="113"/>
      <c r="I122" cm="1">
        <f t="array" aca="1" ref="I122" ca="1">IF(YEAR(INDIRECT("'"&amp;F3&amp;"'!"&amp;"D10"))&lt;2021=TRUE,SUM(INDIRECT("F"&amp;MATCH(DATE(2021,1,DAY(INDIRECT("'"&amp;F3&amp;"'!"&amp;"D10"))),INDIRECT("'"&amp;F3&amp;"'!"&amp;"C:C"))):INDIRECT("G"&amp;MATCH(DATE(2021,12,DAY(INDIRECT("'"&amp;F3&amp;"'!"&amp;"D10"))),INDIRECT("'"&amp;F3&amp;"'!"&amp;"C:C")))),SUM(INDIRECT("F"&amp;MATCH(DATE(2021,MAX(1,MONTH(INDIRECT("'"&amp;F3&amp;"'!"&amp;"D10"))),DAY(INDIRECT("'"&amp;F3&amp;"'!"&amp;"D10"))),INDIRECT("'"&amp;F3&amp;"'!"&amp;"C:C"))):INDIRECT("G"&amp;MATCH(DATE(2021,12,DAY(INDIRECT("'"&amp;F3&amp;"'!"&amp;"D10"))),INDIRECT("'"&amp;F3&amp;"'!"&amp;"C:C")))))</f>
        <v>-54754.45111804815</v>
      </c>
    </row>
    <row r="123" spans="2:12" x14ac:dyDescent="0.45">
      <c r="D123" s="114" t="s">
        <v>12</v>
      </c>
      <c r="E123" s="8"/>
      <c r="F123" s="108">
        <f ca="1">SUM(G119,G123)</f>
        <v>-634429.31615777127</v>
      </c>
      <c r="G123" s="113">
        <f ca="1">IFERROR(SUM(INDIRECT("F"&amp;MATCH(DATE(2023,1,DAY(D10)),C:C)):G107),VALUE("0"))</f>
        <v>-410641.09899766051</v>
      </c>
      <c r="K123" s="3" cm="1">
        <f t="array" aca="1" ref="K123" ca="1">SUM(INDIRECT("F"&amp;MATCH(DATE(2021,MAX(1,MONTH(INDIRECT("'"&amp;F3&amp;"'!"&amp;"D10"))),DAY(INDIRECT("'"&amp;F3&amp;"'!"&amp;"D10"))),INDIRECT("'"&amp;F3&amp;"'!"&amp;"C:C"))):INDIRECT("G"&amp;MATCH(DATE(2021,12,DAY(INDIRECT("'"&amp;F3&amp;"'!"&amp;"D10"))),INDIRECT("'"&amp;F3&amp;"'!"&amp;"C:C"))))</f>
        <v>-54754.45111804815</v>
      </c>
      <c r="L123" cm="1">
        <f t="array" aca="1" ref="L123" ca="1">INDIRECT("'"&amp;F3&amp;"'!"&amp;"F"&amp;MATCH(DATE(2021,MAX(1,MONTH(INDIRECT("'"&amp;F3&amp;"'!"&amp;"D10"))),DAY(INDIRECT("'"&amp;F3&amp;"'!"&amp;"D10"))),INDIRECT("'"&amp;F3&amp;"'!"&amp;"C:C")))</f>
        <v>-20120</v>
      </c>
    </row>
    <row r="124" spans="2:12" ht="14.65" thickBot="1" x14ac:dyDescent="0.5">
      <c r="D124" s="112"/>
      <c r="E124" s="92"/>
      <c r="F124" s="111"/>
      <c r="G124" s="110"/>
      <c r="L124" t="s">
        <v>253</v>
      </c>
    </row>
    <row r="125" spans="2:12" x14ac:dyDescent="0.45">
      <c r="D125" s="82"/>
      <c r="E125" s="20"/>
      <c r="F125" s="109"/>
      <c r="G125" s="109"/>
      <c r="L125" cm="1">
        <f t="array" aca="1" ref="L125" ca="1">INDIRECT("'"&amp;F3&amp;"'!"&amp;"D10")</f>
        <v>44470</v>
      </c>
    </row>
    <row r="128" spans="2:12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-241440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-422520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95564-40EC-43A4-95D6-DF6D7556DB5D}">
  <dimension ref="B1:R130"/>
  <sheetViews>
    <sheetView topLeftCell="A16" zoomScale="85" zoomScaleNormal="85" workbookViewId="0">
      <selection activeCell="E39" sqref="E39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64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16567.32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44492</v>
      </c>
      <c r="E10" s="12">
        <f>VLOOKUP($C$2,'Lease Summary'!D:H,4,FALSE)</f>
        <v>45587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34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16567.32</v>
      </c>
      <c r="G22" s="7" t="s">
        <v>229</v>
      </c>
      <c r="H22" s="53">
        <f>-PV(F16,F12,F22,0,1)</f>
        <v>567491.45185208321</v>
      </c>
      <c r="J22" s="17" t="s">
        <v>234</v>
      </c>
      <c r="K22" s="22"/>
      <c r="L22" s="7"/>
      <c r="M22" s="65">
        <f>H22</f>
        <v>567491.45185208321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44492</v>
      </c>
      <c r="D29" s="27">
        <v>1</v>
      </c>
      <c r="E29" s="33">
        <f>H22</f>
        <v>567491.45185208321</v>
      </c>
      <c r="F29" s="42">
        <f>-D7</f>
        <v>-16567.32</v>
      </c>
      <c r="G29" s="46">
        <f t="shared" ref="G29:G64" si="0">((E29+F29)*($F$16))</f>
        <v>1581.647384442557</v>
      </c>
      <c r="H29" s="59">
        <f>SUM(E29:G29)</f>
        <v>552505.77923652576</v>
      </c>
      <c r="J29" s="69">
        <f t="shared" ref="J29:J64" si="1">D29</f>
        <v>1</v>
      </c>
      <c r="K29" s="70">
        <f>M22</f>
        <v>567491.45185208321</v>
      </c>
      <c r="L29" s="42">
        <f t="shared" ref="L29:L64" si="2">-$M$22/$F$12</f>
        <v>-15763.651440335645</v>
      </c>
      <c r="M29" s="71">
        <f t="shared" ref="M29:M64" si="3">K29+L29</f>
        <v>551727.80041174754</v>
      </c>
      <c r="N29" s="32"/>
      <c r="O29" s="72">
        <f>+F29</f>
        <v>-16567.32</v>
      </c>
      <c r="P29" s="73">
        <f>+G29</f>
        <v>1581.647384442557</v>
      </c>
      <c r="Q29" s="71">
        <f>-L29</f>
        <v>15763.651440335645</v>
      </c>
      <c r="R29" s="85"/>
    </row>
    <row r="30" spans="2:18" x14ac:dyDescent="0.45">
      <c r="B30" s="7"/>
      <c r="C30" s="19">
        <f>DATE(YEAR(C29),MONTH(C29)+1,DAY(C29))</f>
        <v>44523</v>
      </c>
      <c r="D30" s="26">
        <f t="shared" ref="D30:D64" si="4">D29+1</f>
        <v>2</v>
      </c>
      <c r="E30" s="34">
        <f t="shared" ref="E30:E64" si="5">H29</f>
        <v>552505.77923652576</v>
      </c>
      <c r="F30" s="43">
        <f t="shared" ref="F30:F64" si="6">F29</f>
        <v>-16567.32</v>
      </c>
      <c r="G30" s="47">
        <f t="shared" si="0"/>
        <v>1538.6250361260511</v>
      </c>
      <c r="H30" s="60">
        <f t="shared" ref="H30:H64" si="7">SUM(E30:G30)</f>
        <v>537477.08427265182</v>
      </c>
      <c r="J30" s="74">
        <f t="shared" si="1"/>
        <v>2</v>
      </c>
      <c r="K30" s="48">
        <f t="shared" ref="K30:K64" si="8">M29</f>
        <v>551727.80041174754</v>
      </c>
      <c r="L30" s="43">
        <f t="shared" si="2"/>
        <v>-15763.651440335645</v>
      </c>
      <c r="M30" s="75">
        <f t="shared" si="3"/>
        <v>535964.14897141187</v>
      </c>
      <c r="N30" s="32"/>
      <c r="O30" s="76">
        <f t="shared" ref="O30:P45" si="9">+O29+F30</f>
        <v>-33134.639999999999</v>
      </c>
      <c r="P30" s="77">
        <f t="shared" si="9"/>
        <v>3120.2724205686081</v>
      </c>
      <c r="Q30" s="75">
        <f t="shared" ref="Q30:Q64" si="10">+Q29-L30</f>
        <v>31527.30288067129</v>
      </c>
      <c r="R30" s="86"/>
    </row>
    <row r="31" spans="2:18" x14ac:dyDescent="0.45">
      <c r="B31" s="7"/>
      <c r="C31" s="19">
        <f t="shared" ref="C31:C94" si="11">DATE(YEAR(C30),MONTH(C30)+1,DAY(C30))</f>
        <v>44553</v>
      </c>
      <c r="D31" s="26">
        <f t="shared" si="4"/>
        <v>3</v>
      </c>
      <c r="E31" s="34">
        <f t="shared" si="5"/>
        <v>537477.08427265182</v>
      </c>
      <c r="F31" s="43">
        <f t="shared" si="6"/>
        <v>-16567.32</v>
      </c>
      <c r="G31" s="47">
        <f t="shared" si="0"/>
        <v>1495.4791750048716</v>
      </c>
      <c r="H31" s="60">
        <f t="shared" si="7"/>
        <v>522405.24344765669</v>
      </c>
      <c r="J31" s="74">
        <f t="shared" si="1"/>
        <v>3</v>
      </c>
      <c r="K31" s="48">
        <f t="shared" si="8"/>
        <v>535964.14897141187</v>
      </c>
      <c r="L31" s="43">
        <f t="shared" si="2"/>
        <v>-15763.651440335645</v>
      </c>
      <c r="M31" s="75">
        <f t="shared" si="3"/>
        <v>520200.49753107619</v>
      </c>
      <c r="N31" s="32"/>
      <c r="O31" s="76">
        <f t="shared" si="9"/>
        <v>-49701.96</v>
      </c>
      <c r="P31" s="39">
        <f t="shared" si="9"/>
        <v>4615.7515955734798</v>
      </c>
      <c r="Q31" s="88">
        <f t="shared" si="10"/>
        <v>47290.954321006939</v>
      </c>
      <c r="R31" s="86"/>
    </row>
    <row r="32" spans="2:18" x14ac:dyDescent="0.45">
      <c r="B32" s="7"/>
      <c r="C32" s="19">
        <f t="shared" si="11"/>
        <v>44584</v>
      </c>
      <c r="D32" s="26">
        <f t="shared" si="4"/>
        <v>4</v>
      </c>
      <c r="E32" s="34">
        <f t="shared" si="5"/>
        <v>522405.24344765669</v>
      </c>
      <c r="F32" s="43">
        <f t="shared" si="6"/>
        <v>-16567.32</v>
      </c>
      <c r="G32" s="47">
        <f t="shared" si="0"/>
        <v>1452.2094464862662</v>
      </c>
      <c r="H32" s="60">
        <f t="shared" si="7"/>
        <v>507290.13289414294</v>
      </c>
      <c r="J32" s="74">
        <f t="shared" si="1"/>
        <v>4</v>
      </c>
      <c r="K32" s="48">
        <f t="shared" si="8"/>
        <v>520200.49753107619</v>
      </c>
      <c r="L32" s="43">
        <f t="shared" si="2"/>
        <v>-15763.651440335645</v>
      </c>
      <c r="M32" s="75">
        <f t="shared" si="3"/>
        <v>504436.84609074052</v>
      </c>
      <c r="N32" s="32"/>
      <c r="O32" s="76">
        <f t="shared" si="9"/>
        <v>-66269.279999999999</v>
      </c>
      <c r="P32" s="39">
        <f t="shared" si="9"/>
        <v>6067.9610420597455</v>
      </c>
      <c r="Q32" s="88">
        <f t="shared" si="10"/>
        <v>63054.60576134258</v>
      </c>
      <c r="R32" s="86"/>
    </row>
    <row r="33" spans="2:18" x14ac:dyDescent="0.45">
      <c r="B33" s="7"/>
      <c r="C33" s="19">
        <f t="shared" si="11"/>
        <v>44615</v>
      </c>
      <c r="D33" s="26">
        <f t="shared" si="4"/>
        <v>5</v>
      </c>
      <c r="E33" s="34">
        <f t="shared" si="5"/>
        <v>507290.13289414294</v>
      </c>
      <c r="F33" s="43">
        <f t="shared" si="6"/>
        <v>-16567.32</v>
      </c>
      <c r="G33" s="47">
        <f t="shared" si="0"/>
        <v>1408.8154949594816</v>
      </c>
      <c r="H33" s="60">
        <f t="shared" si="7"/>
        <v>492131.62838910241</v>
      </c>
      <c r="J33" s="74">
        <f t="shared" si="1"/>
        <v>5</v>
      </c>
      <c r="K33" s="48">
        <f t="shared" si="8"/>
        <v>504436.84609074052</v>
      </c>
      <c r="L33" s="43">
        <f t="shared" si="2"/>
        <v>-15763.651440335645</v>
      </c>
      <c r="M33" s="75">
        <f t="shared" si="3"/>
        <v>488673.19465040485</v>
      </c>
      <c r="N33" s="32"/>
      <c r="O33" s="76">
        <f t="shared" si="9"/>
        <v>-82836.600000000006</v>
      </c>
      <c r="P33" s="39">
        <f t="shared" si="9"/>
        <v>7476.7765370192274</v>
      </c>
      <c r="Q33" s="88">
        <f t="shared" si="10"/>
        <v>78818.257201678221</v>
      </c>
      <c r="R33" s="86"/>
    </row>
    <row r="34" spans="2:18" x14ac:dyDescent="0.45">
      <c r="B34" s="7"/>
      <c r="C34" s="19">
        <f t="shared" si="11"/>
        <v>44643</v>
      </c>
      <c r="D34" s="26">
        <f t="shared" si="4"/>
        <v>6</v>
      </c>
      <c r="E34" s="34">
        <f t="shared" si="5"/>
        <v>492131.62838910241</v>
      </c>
      <c r="F34" s="43">
        <f t="shared" si="6"/>
        <v>-16567.32</v>
      </c>
      <c r="G34" s="47">
        <f t="shared" si="0"/>
        <v>1365.2969637928434</v>
      </c>
      <c r="H34" s="60">
        <f t="shared" si="7"/>
        <v>476929.60535289522</v>
      </c>
      <c r="J34" s="74">
        <f t="shared" si="1"/>
        <v>6</v>
      </c>
      <c r="K34" s="48">
        <f t="shared" si="8"/>
        <v>488673.19465040485</v>
      </c>
      <c r="L34" s="43">
        <f t="shared" si="2"/>
        <v>-15763.651440335645</v>
      </c>
      <c r="M34" s="75">
        <f t="shared" si="3"/>
        <v>472909.54321006918</v>
      </c>
      <c r="N34" s="32"/>
      <c r="O34" s="76">
        <f t="shared" si="9"/>
        <v>-99403.920000000013</v>
      </c>
      <c r="P34" s="39">
        <f t="shared" si="9"/>
        <v>8842.0735008120701</v>
      </c>
      <c r="Q34" s="88">
        <f t="shared" si="10"/>
        <v>94581.908642013863</v>
      </c>
      <c r="R34" s="86"/>
    </row>
    <row r="35" spans="2:18" x14ac:dyDescent="0.45">
      <c r="B35" s="7"/>
      <c r="C35" s="19">
        <f t="shared" si="11"/>
        <v>44674</v>
      </c>
      <c r="D35" s="26">
        <f t="shared" si="4"/>
        <v>7</v>
      </c>
      <c r="E35" s="34">
        <f t="shared" si="5"/>
        <v>476929.60535289522</v>
      </c>
      <c r="F35" s="43">
        <f t="shared" si="6"/>
        <v>-16567.32</v>
      </c>
      <c r="G35" s="47">
        <f t="shared" si="0"/>
        <v>1321.6534953308226</v>
      </c>
      <c r="H35" s="60">
        <f t="shared" si="7"/>
        <v>461683.93884822604</v>
      </c>
      <c r="J35" s="74">
        <f t="shared" si="1"/>
        <v>7</v>
      </c>
      <c r="K35" s="48">
        <f t="shared" si="8"/>
        <v>472909.54321006918</v>
      </c>
      <c r="L35" s="43">
        <f t="shared" si="2"/>
        <v>-15763.651440335645</v>
      </c>
      <c r="M35" s="75">
        <f t="shared" si="3"/>
        <v>457145.89176973351</v>
      </c>
      <c r="N35" s="32"/>
      <c r="O35" s="76">
        <f t="shared" si="9"/>
        <v>-115971.24000000002</v>
      </c>
      <c r="P35" s="39">
        <f t="shared" si="9"/>
        <v>10163.726996142892</v>
      </c>
      <c r="Q35" s="88">
        <f t="shared" si="10"/>
        <v>110345.5600823495</v>
      </c>
      <c r="R35" s="86"/>
    </row>
    <row r="36" spans="2:18" x14ac:dyDescent="0.45">
      <c r="B36" s="7"/>
      <c r="C36" s="19">
        <f t="shared" si="11"/>
        <v>44704</v>
      </c>
      <c r="D36" s="26">
        <f t="shared" si="4"/>
        <v>8</v>
      </c>
      <c r="E36" s="34">
        <f t="shared" si="5"/>
        <v>461683.93884822604</v>
      </c>
      <c r="F36" s="43">
        <f t="shared" si="6"/>
        <v>-16567.32</v>
      </c>
      <c r="G36" s="47">
        <f t="shared" si="0"/>
        <v>1277.8847308910981</v>
      </c>
      <c r="H36" s="60">
        <f t="shared" si="7"/>
        <v>446394.50357911712</v>
      </c>
      <c r="J36" s="74">
        <f t="shared" si="1"/>
        <v>8</v>
      </c>
      <c r="K36" s="48">
        <f t="shared" si="8"/>
        <v>457145.89176973351</v>
      </c>
      <c r="L36" s="43">
        <f t="shared" si="2"/>
        <v>-15763.651440335645</v>
      </c>
      <c r="M36" s="75">
        <f t="shared" si="3"/>
        <v>441382.24032939784</v>
      </c>
      <c r="N36" s="32"/>
      <c r="O36" s="76">
        <f t="shared" si="9"/>
        <v>-132538.56000000003</v>
      </c>
      <c r="P36" s="39">
        <f t="shared" si="9"/>
        <v>11441.611727033989</v>
      </c>
      <c r="Q36" s="88">
        <f t="shared" si="10"/>
        <v>126109.21152268515</v>
      </c>
      <c r="R36" s="86"/>
    </row>
    <row r="37" spans="2:18" x14ac:dyDescent="0.45">
      <c r="B37" s="7"/>
      <c r="C37" s="19">
        <f t="shared" si="11"/>
        <v>44735</v>
      </c>
      <c r="D37" s="26">
        <f t="shared" si="4"/>
        <v>9</v>
      </c>
      <c r="E37" s="34">
        <f t="shared" si="5"/>
        <v>446394.50357911712</v>
      </c>
      <c r="F37" s="43">
        <f t="shared" si="6"/>
        <v>-16567.32</v>
      </c>
      <c r="G37" s="47">
        <f t="shared" si="0"/>
        <v>1233.990310761608</v>
      </c>
      <c r="H37" s="60">
        <f t="shared" si="7"/>
        <v>431061.17388987873</v>
      </c>
      <c r="J37" s="74">
        <f t="shared" si="1"/>
        <v>9</v>
      </c>
      <c r="K37" s="48">
        <f t="shared" si="8"/>
        <v>441382.24032939784</v>
      </c>
      <c r="L37" s="43">
        <f t="shared" si="2"/>
        <v>-15763.651440335645</v>
      </c>
      <c r="M37" s="75">
        <f t="shared" si="3"/>
        <v>425618.58888906217</v>
      </c>
      <c r="N37" s="32"/>
      <c r="O37" s="76">
        <f t="shared" si="9"/>
        <v>-149105.88000000003</v>
      </c>
      <c r="P37" s="39">
        <f t="shared" si="9"/>
        <v>12675.602037795597</v>
      </c>
      <c r="Q37" s="88">
        <f t="shared" si="10"/>
        <v>141872.8629630208</v>
      </c>
      <c r="R37" s="86"/>
    </row>
    <row r="38" spans="2:18" x14ac:dyDescent="0.45">
      <c r="B38" s="7"/>
      <c r="C38" s="19">
        <f t="shared" si="11"/>
        <v>44765</v>
      </c>
      <c r="D38" s="26">
        <f t="shared" si="4"/>
        <v>10</v>
      </c>
      <c r="E38" s="34">
        <f t="shared" si="5"/>
        <v>431061.17388987873</v>
      </c>
      <c r="F38" s="43">
        <f t="shared" si="6"/>
        <v>-16567.32</v>
      </c>
      <c r="G38" s="47">
        <f t="shared" si="0"/>
        <v>1189.9698741975938</v>
      </c>
      <c r="H38" s="60">
        <f t="shared" si="7"/>
        <v>415683.82376407634</v>
      </c>
      <c r="J38" s="74">
        <f t="shared" si="1"/>
        <v>10</v>
      </c>
      <c r="K38" s="48">
        <f t="shared" si="8"/>
        <v>425618.58888906217</v>
      </c>
      <c r="L38" s="43">
        <f t="shared" si="2"/>
        <v>-15763.651440335645</v>
      </c>
      <c r="M38" s="75">
        <f t="shared" si="3"/>
        <v>409854.9374487265</v>
      </c>
      <c r="N38" s="32"/>
      <c r="O38" s="76">
        <f t="shared" si="9"/>
        <v>-165673.20000000004</v>
      </c>
      <c r="P38" s="39">
        <f t="shared" si="9"/>
        <v>13865.571911993191</v>
      </c>
      <c r="Q38" s="88">
        <f t="shared" si="10"/>
        <v>157636.51440335644</v>
      </c>
      <c r="R38" s="87"/>
    </row>
    <row r="39" spans="2:18" x14ac:dyDescent="0.45">
      <c r="B39" s="7"/>
      <c r="C39" s="19">
        <f t="shared" si="11"/>
        <v>44796</v>
      </c>
      <c r="D39" s="26">
        <f t="shared" si="4"/>
        <v>11</v>
      </c>
      <c r="E39" s="34">
        <f t="shared" si="5"/>
        <v>415683.82376407634</v>
      </c>
      <c r="F39" s="43">
        <f t="shared" si="6"/>
        <v>-16567.32</v>
      </c>
      <c r="G39" s="47">
        <f t="shared" si="0"/>
        <v>1145.8230594186346</v>
      </c>
      <c r="H39" s="60">
        <f t="shared" si="7"/>
        <v>400262.32682349498</v>
      </c>
      <c r="J39" s="74">
        <f t="shared" si="1"/>
        <v>11</v>
      </c>
      <c r="K39" s="48">
        <f t="shared" si="8"/>
        <v>409854.9374487265</v>
      </c>
      <c r="L39" s="43">
        <f t="shared" si="2"/>
        <v>-15763.651440335645</v>
      </c>
      <c r="M39" s="75">
        <f t="shared" si="3"/>
        <v>394091.28600839083</v>
      </c>
      <c r="N39" s="32"/>
      <c r="O39" s="76">
        <f t="shared" si="9"/>
        <v>-182240.52000000005</v>
      </c>
      <c r="P39" s="39">
        <f t="shared" si="9"/>
        <v>15011.394971411826</v>
      </c>
      <c r="Q39" s="88">
        <f t="shared" si="10"/>
        <v>173400.16584369208</v>
      </c>
      <c r="R39" s="87"/>
    </row>
    <row r="40" spans="2:18" x14ac:dyDescent="0.45">
      <c r="B40" s="7"/>
      <c r="C40" s="19">
        <f t="shared" si="11"/>
        <v>44827</v>
      </c>
      <c r="D40" s="26">
        <f t="shared" si="4"/>
        <v>12</v>
      </c>
      <c r="E40" s="34">
        <f t="shared" si="5"/>
        <v>400262.32682349498</v>
      </c>
      <c r="F40" s="43">
        <f t="shared" si="6"/>
        <v>-16567.32</v>
      </c>
      <c r="G40" s="47">
        <f t="shared" si="0"/>
        <v>1101.5495036056752</v>
      </c>
      <c r="H40" s="60">
        <f t="shared" si="7"/>
        <v>384796.55632710067</v>
      </c>
      <c r="J40" s="74">
        <f t="shared" si="1"/>
        <v>12</v>
      </c>
      <c r="K40" s="48">
        <f t="shared" si="8"/>
        <v>394091.28600839083</v>
      </c>
      <c r="L40" s="43">
        <f t="shared" si="2"/>
        <v>-15763.651440335645</v>
      </c>
      <c r="M40" s="75">
        <f t="shared" si="3"/>
        <v>378327.63456805516</v>
      </c>
      <c r="N40" s="32"/>
      <c r="O40" s="76">
        <f t="shared" si="9"/>
        <v>-198807.84000000005</v>
      </c>
      <c r="P40" s="39">
        <f t="shared" si="9"/>
        <v>16112.944475017501</v>
      </c>
      <c r="Q40" s="88">
        <f t="shared" si="10"/>
        <v>189163.81728402773</v>
      </c>
      <c r="R40" s="87"/>
    </row>
    <row r="41" spans="2:18" x14ac:dyDescent="0.45">
      <c r="B41" s="7"/>
      <c r="C41" s="19">
        <f t="shared" si="11"/>
        <v>44857</v>
      </c>
      <c r="D41" s="26">
        <f t="shared" si="4"/>
        <v>13</v>
      </c>
      <c r="E41" s="34">
        <f t="shared" si="5"/>
        <v>384796.55632710067</v>
      </c>
      <c r="F41" s="43">
        <f t="shared" si="6"/>
        <v>-16567.32</v>
      </c>
      <c r="G41" s="47">
        <f t="shared" si="0"/>
        <v>1057.1488428980435</v>
      </c>
      <c r="H41" s="60">
        <f t="shared" si="7"/>
        <v>369286.38516999868</v>
      </c>
      <c r="J41" s="74">
        <f t="shared" si="1"/>
        <v>13</v>
      </c>
      <c r="K41" s="48">
        <f t="shared" si="8"/>
        <v>378327.63456805516</v>
      </c>
      <c r="L41" s="43">
        <f t="shared" si="2"/>
        <v>-15763.651440335645</v>
      </c>
      <c r="M41" s="75">
        <f t="shared" si="3"/>
        <v>362563.98312771949</v>
      </c>
      <c r="N41" s="32"/>
      <c r="O41" s="76">
        <f t="shared" si="9"/>
        <v>-215375.16000000006</v>
      </c>
      <c r="P41" s="39">
        <f t="shared" si="9"/>
        <v>17170.093317915544</v>
      </c>
      <c r="Q41" s="88">
        <f t="shared" si="10"/>
        <v>204927.46872436337</v>
      </c>
      <c r="R41" s="87"/>
    </row>
    <row r="42" spans="2:18" x14ac:dyDescent="0.45">
      <c r="B42" s="7"/>
      <c r="C42" s="19">
        <f t="shared" si="11"/>
        <v>44888</v>
      </c>
      <c r="D42" s="26">
        <f t="shared" si="4"/>
        <v>14</v>
      </c>
      <c r="E42" s="34">
        <f t="shared" si="5"/>
        <v>369286.38516999868</v>
      </c>
      <c r="F42" s="43">
        <f t="shared" si="6"/>
        <v>-16567.32</v>
      </c>
      <c r="G42" s="47">
        <f t="shared" si="0"/>
        <v>1012.6207123904599</v>
      </c>
      <c r="H42" s="60">
        <f t="shared" si="7"/>
        <v>353731.68588238914</v>
      </c>
      <c r="J42" s="74">
        <f t="shared" si="1"/>
        <v>14</v>
      </c>
      <c r="K42" s="48">
        <f t="shared" si="8"/>
        <v>362563.98312771949</v>
      </c>
      <c r="L42" s="43">
        <f t="shared" si="2"/>
        <v>-15763.651440335645</v>
      </c>
      <c r="M42" s="75">
        <f t="shared" si="3"/>
        <v>346800.33168738382</v>
      </c>
      <c r="N42" s="32"/>
      <c r="O42" s="76">
        <f t="shared" si="9"/>
        <v>-231942.48000000007</v>
      </c>
      <c r="P42" s="39">
        <f t="shared" si="9"/>
        <v>18182.714030306004</v>
      </c>
      <c r="Q42" s="88">
        <f t="shared" si="10"/>
        <v>220691.12016469901</v>
      </c>
      <c r="R42" s="87"/>
    </row>
    <row r="43" spans="2:18" x14ac:dyDescent="0.45">
      <c r="B43" s="7"/>
      <c r="C43" s="19">
        <f t="shared" si="11"/>
        <v>44918</v>
      </c>
      <c r="D43" s="26">
        <f t="shared" si="4"/>
        <v>15</v>
      </c>
      <c r="E43" s="34">
        <f t="shared" si="5"/>
        <v>353731.68588238914</v>
      </c>
      <c r="F43" s="43">
        <f t="shared" si="6"/>
        <v>-16567.32</v>
      </c>
      <c r="G43" s="47">
        <f t="shared" si="0"/>
        <v>967.96474613003932</v>
      </c>
      <c r="H43" s="60">
        <f t="shared" si="7"/>
        <v>338132.33062851918</v>
      </c>
      <c r="J43" s="74">
        <f t="shared" si="1"/>
        <v>15</v>
      </c>
      <c r="K43" s="48">
        <f t="shared" si="8"/>
        <v>346800.33168738382</v>
      </c>
      <c r="L43" s="43">
        <f t="shared" si="2"/>
        <v>-15763.651440335645</v>
      </c>
      <c r="M43" s="75">
        <f t="shared" si="3"/>
        <v>331036.68024704815</v>
      </c>
      <c r="N43" s="32"/>
      <c r="O43" s="76">
        <f t="shared" si="9"/>
        <v>-248509.80000000008</v>
      </c>
      <c r="P43" s="39">
        <f t="shared" si="9"/>
        <v>19150.678776436045</v>
      </c>
      <c r="Q43" s="88">
        <f t="shared" si="10"/>
        <v>236454.77160503465</v>
      </c>
      <c r="R43" s="87"/>
    </row>
    <row r="44" spans="2:18" x14ac:dyDescent="0.45">
      <c r="B44" s="7"/>
      <c r="C44" s="19">
        <f t="shared" si="11"/>
        <v>44949</v>
      </c>
      <c r="D44" s="26">
        <f t="shared" si="4"/>
        <v>16</v>
      </c>
      <c r="E44" s="34">
        <f t="shared" si="5"/>
        <v>338132.33062851918</v>
      </c>
      <c r="F44" s="43">
        <f t="shared" si="6"/>
        <v>-16567.32</v>
      </c>
      <c r="G44" s="47">
        <f t="shared" si="0"/>
        <v>923.18057711328254</v>
      </c>
      <c r="H44" s="60">
        <f t="shared" si="7"/>
        <v>322488.19120563247</v>
      </c>
      <c r="J44" s="74">
        <f t="shared" si="1"/>
        <v>16</v>
      </c>
      <c r="K44" s="48">
        <f t="shared" si="8"/>
        <v>331036.68024704815</v>
      </c>
      <c r="L44" s="43">
        <f t="shared" si="2"/>
        <v>-15763.651440335645</v>
      </c>
      <c r="M44" s="75">
        <f t="shared" si="3"/>
        <v>315273.02880671248</v>
      </c>
      <c r="N44" s="32"/>
      <c r="O44" s="76">
        <f t="shared" si="9"/>
        <v>-265077.12000000005</v>
      </c>
      <c r="P44" s="39">
        <f t="shared" si="9"/>
        <v>20073.859353549327</v>
      </c>
      <c r="Q44" s="88">
        <f t="shared" si="10"/>
        <v>252218.42304537029</v>
      </c>
      <c r="R44" s="87"/>
    </row>
    <row r="45" spans="2:18" x14ac:dyDescent="0.45">
      <c r="B45" s="7"/>
      <c r="C45" s="19">
        <f t="shared" si="11"/>
        <v>44980</v>
      </c>
      <c r="D45" s="26">
        <f t="shared" si="4"/>
        <v>17</v>
      </c>
      <c r="E45" s="34">
        <f t="shared" si="5"/>
        <v>322488.19120563247</v>
      </c>
      <c r="F45" s="43">
        <f t="shared" si="6"/>
        <v>-16567.32</v>
      </c>
      <c r="G45" s="47">
        <f t="shared" si="0"/>
        <v>878.26783728306066</v>
      </c>
      <c r="H45" s="60">
        <f t="shared" si="7"/>
        <v>306799.13904291554</v>
      </c>
      <c r="J45" s="74">
        <f t="shared" si="1"/>
        <v>17</v>
      </c>
      <c r="K45" s="48">
        <f t="shared" si="8"/>
        <v>315273.02880671248</v>
      </c>
      <c r="L45" s="43">
        <f t="shared" si="2"/>
        <v>-15763.651440335645</v>
      </c>
      <c r="M45" s="75">
        <f t="shared" si="3"/>
        <v>299509.37736637681</v>
      </c>
      <c r="N45" s="32"/>
      <c r="O45" s="76">
        <f t="shared" si="9"/>
        <v>-281644.44000000006</v>
      </c>
      <c r="P45" s="39">
        <f t="shared" si="9"/>
        <v>20952.127190832387</v>
      </c>
      <c r="Q45" s="88">
        <f t="shared" si="10"/>
        <v>267982.07448570593</v>
      </c>
      <c r="R45" s="87"/>
    </row>
    <row r="46" spans="2:18" x14ac:dyDescent="0.45">
      <c r="B46" s="7"/>
      <c r="C46" s="19">
        <f t="shared" si="11"/>
        <v>45008</v>
      </c>
      <c r="D46" s="26">
        <f t="shared" si="4"/>
        <v>18</v>
      </c>
      <c r="E46" s="34">
        <f t="shared" si="5"/>
        <v>306799.13904291554</v>
      </c>
      <c r="F46" s="43">
        <f t="shared" si="6"/>
        <v>-16567.32</v>
      </c>
      <c r="G46" s="47">
        <f t="shared" si="0"/>
        <v>833.22615752559</v>
      </c>
      <c r="H46" s="60">
        <f t="shared" si="7"/>
        <v>291065.04520044115</v>
      </c>
      <c r="J46" s="74">
        <f t="shared" si="1"/>
        <v>18</v>
      </c>
      <c r="K46" s="48">
        <f t="shared" si="8"/>
        <v>299509.37736637681</v>
      </c>
      <c r="L46" s="43">
        <f t="shared" si="2"/>
        <v>-15763.651440335645</v>
      </c>
      <c r="M46" s="75">
        <f t="shared" si="3"/>
        <v>283745.72592604114</v>
      </c>
      <c r="N46" s="32"/>
      <c r="O46" s="76">
        <f t="shared" ref="O46:P61" si="12">+O45+F46</f>
        <v>-298211.76000000007</v>
      </c>
      <c r="P46" s="39">
        <f t="shared" si="12"/>
        <v>21785.353348357978</v>
      </c>
      <c r="Q46" s="88">
        <f t="shared" si="10"/>
        <v>283745.7259260416</v>
      </c>
      <c r="R46" s="87"/>
    </row>
    <row r="47" spans="2:18" x14ac:dyDescent="0.45">
      <c r="B47" s="7"/>
      <c r="C47" s="19">
        <f t="shared" si="11"/>
        <v>45039</v>
      </c>
      <c r="D47" s="26">
        <f t="shared" si="4"/>
        <v>19</v>
      </c>
      <c r="E47" s="34">
        <f t="shared" si="5"/>
        <v>291065.04520044115</v>
      </c>
      <c r="F47" s="43">
        <f t="shared" si="6"/>
        <v>-16567.32</v>
      </c>
      <c r="G47" s="47">
        <f t="shared" si="0"/>
        <v>788.05516766739856</v>
      </c>
      <c r="H47" s="60">
        <f t="shared" si="7"/>
        <v>275285.78036810854</v>
      </c>
      <c r="J47" s="74">
        <f t="shared" si="1"/>
        <v>19</v>
      </c>
      <c r="K47" s="48">
        <f t="shared" si="8"/>
        <v>283745.72592604114</v>
      </c>
      <c r="L47" s="43">
        <f t="shared" si="2"/>
        <v>-15763.651440335645</v>
      </c>
      <c r="M47" s="75">
        <f t="shared" si="3"/>
        <v>267982.07448570547</v>
      </c>
      <c r="N47" s="32"/>
      <c r="O47" s="76">
        <f t="shared" si="12"/>
        <v>-314779.08000000007</v>
      </c>
      <c r="P47" s="39">
        <f t="shared" si="12"/>
        <v>22573.408516025374</v>
      </c>
      <c r="Q47" s="88">
        <f t="shared" si="10"/>
        <v>299509.37736637727</v>
      </c>
      <c r="R47" s="87"/>
    </row>
    <row r="48" spans="2:18" x14ac:dyDescent="0.45">
      <c r="B48" s="7"/>
      <c r="C48" s="19">
        <f t="shared" si="11"/>
        <v>45069</v>
      </c>
      <c r="D48" s="26">
        <f t="shared" si="4"/>
        <v>20</v>
      </c>
      <c r="E48" s="34">
        <f t="shared" si="5"/>
        <v>275285.78036810854</v>
      </c>
      <c r="F48" s="43">
        <f t="shared" si="6"/>
        <v>-16567.32</v>
      </c>
      <c r="G48" s="47">
        <f t="shared" si="0"/>
        <v>742.75449647228379</v>
      </c>
      <c r="H48" s="60">
        <f t="shared" si="7"/>
        <v>259461.2148645808</v>
      </c>
      <c r="J48" s="74">
        <f t="shared" si="1"/>
        <v>20</v>
      </c>
      <c r="K48" s="48">
        <f t="shared" si="8"/>
        <v>267982.07448570547</v>
      </c>
      <c r="L48" s="43">
        <f t="shared" si="2"/>
        <v>-15763.651440335645</v>
      </c>
      <c r="M48" s="75">
        <f t="shared" si="3"/>
        <v>252218.42304536983</v>
      </c>
      <c r="N48" s="32"/>
      <c r="O48" s="76">
        <f t="shared" si="12"/>
        <v>-331346.40000000008</v>
      </c>
      <c r="P48" s="39">
        <f t="shared" si="12"/>
        <v>23316.163012497658</v>
      </c>
      <c r="Q48" s="88">
        <f t="shared" si="10"/>
        <v>315273.02880671294</v>
      </c>
      <c r="R48" s="87"/>
    </row>
    <row r="49" spans="2:18" x14ac:dyDescent="0.45">
      <c r="B49" s="7"/>
      <c r="C49" s="19">
        <f t="shared" si="11"/>
        <v>45100</v>
      </c>
      <c r="D49" s="26">
        <f t="shared" si="4"/>
        <v>21</v>
      </c>
      <c r="E49" s="34">
        <f t="shared" si="5"/>
        <v>259461.2148645808</v>
      </c>
      <c r="F49" s="43">
        <f t="shared" si="6"/>
        <v>-16567.32</v>
      </c>
      <c r="G49" s="47">
        <f t="shared" si="0"/>
        <v>697.32377163826163</v>
      </c>
      <c r="H49" s="60">
        <f t="shared" si="7"/>
        <v>243591.21863621907</v>
      </c>
      <c r="J49" s="74">
        <f t="shared" si="1"/>
        <v>21</v>
      </c>
      <c r="K49" s="48">
        <f t="shared" si="8"/>
        <v>252218.42304536983</v>
      </c>
      <c r="L49" s="43">
        <f t="shared" si="2"/>
        <v>-15763.651440335645</v>
      </c>
      <c r="M49" s="75">
        <f t="shared" si="3"/>
        <v>236454.77160503418</v>
      </c>
      <c r="N49" s="80"/>
      <c r="O49" s="76">
        <f t="shared" si="12"/>
        <v>-347913.72000000009</v>
      </c>
      <c r="P49" s="39">
        <f t="shared" si="12"/>
        <v>24013.486784135919</v>
      </c>
      <c r="Q49" s="88">
        <f t="shared" si="10"/>
        <v>331036.68024704861</v>
      </c>
      <c r="R49" s="87"/>
    </row>
    <row r="50" spans="2:18" x14ac:dyDescent="0.45">
      <c r="B50" s="7"/>
      <c r="C50" s="19">
        <f t="shared" si="11"/>
        <v>45130</v>
      </c>
      <c r="D50" s="26">
        <f t="shared" si="4"/>
        <v>22</v>
      </c>
      <c r="E50" s="34">
        <f t="shared" si="5"/>
        <v>243591.21863621907</v>
      </c>
      <c r="F50" s="43">
        <f t="shared" si="6"/>
        <v>-16567.32</v>
      </c>
      <c r="G50" s="47">
        <f t="shared" si="0"/>
        <v>651.7626197945068</v>
      </c>
      <c r="H50" s="60">
        <f t="shared" si="7"/>
        <v>227675.66125601358</v>
      </c>
      <c r="J50" s="74">
        <f t="shared" si="1"/>
        <v>22</v>
      </c>
      <c r="K50" s="48">
        <f t="shared" si="8"/>
        <v>236454.77160503418</v>
      </c>
      <c r="L50" s="43">
        <f t="shared" si="2"/>
        <v>-15763.651440335645</v>
      </c>
      <c r="M50" s="75">
        <f t="shared" si="3"/>
        <v>220691.12016469854</v>
      </c>
      <c r="N50" s="32"/>
      <c r="O50" s="76">
        <f t="shared" si="12"/>
        <v>-364481.0400000001</v>
      </c>
      <c r="P50" s="39">
        <f t="shared" si="12"/>
        <v>24665.249403930426</v>
      </c>
      <c r="Q50" s="88">
        <f t="shared" si="10"/>
        <v>346800.33168738429</v>
      </c>
      <c r="R50" s="32"/>
    </row>
    <row r="51" spans="2:18" x14ac:dyDescent="0.45">
      <c r="B51" s="7"/>
      <c r="C51" s="19">
        <f t="shared" si="11"/>
        <v>45161</v>
      </c>
      <c r="D51" s="26">
        <f t="shared" si="4"/>
        <v>23</v>
      </c>
      <c r="E51" s="34">
        <f t="shared" si="5"/>
        <v>227675.66125601358</v>
      </c>
      <c r="F51" s="43">
        <f t="shared" si="6"/>
        <v>-16567.32</v>
      </c>
      <c r="G51" s="47">
        <f t="shared" si="0"/>
        <v>606.07066649828403</v>
      </c>
      <c r="H51" s="60">
        <f t="shared" si="7"/>
        <v>211714.41192251185</v>
      </c>
      <c r="J51" s="74">
        <f t="shared" si="1"/>
        <v>23</v>
      </c>
      <c r="K51" s="48">
        <f t="shared" si="8"/>
        <v>220691.12016469854</v>
      </c>
      <c r="L51" s="43">
        <f t="shared" si="2"/>
        <v>-15763.651440335645</v>
      </c>
      <c r="M51" s="75">
        <f t="shared" si="3"/>
        <v>204927.4687243629</v>
      </c>
      <c r="N51" s="32"/>
      <c r="O51" s="76">
        <f t="shared" si="12"/>
        <v>-381048.3600000001</v>
      </c>
      <c r="P51" s="39">
        <f t="shared" si="12"/>
        <v>25271.320070428708</v>
      </c>
      <c r="Q51" s="88">
        <f t="shared" si="10"/>
        <v>362563.98312771996</v>
      </c>
      <c r="R51" s="32"/>
    </row>
    <row r="52" spans="2:18" x14ac:dyDescent="0.45">
      <c r="B52" s="7"/>
      <c r="C52" s="19">
        <f t="shared" si="11"/>
        <v>45192</v>
      </c>
      <c r="D52" s="26">
        <f t="shared" si="4"/>
        <v>24</v>
      </c>
      <c r="E52" s="34">
        <f t="shared" si="5"/>
        <v>211714.41192251185</v>
      </c>
      <c r="F52" s="43">
        <f t="shared" si="6"/>
        <v>-16567.32</v>
      </c>
      <c r="G52" s="47">
        <f t="shared" si="0"/>
        <v>560.24753623187098</v>
      </c>
      <c r="H52" s="60">
        <f t="shared" si="7"/>
        <v>195707.33945874372</v>
      </c>
      <c r="J52" s="74">
        <f t="shared" si="1"/>
        <v>24</v>
      </c>
      <c r="K52" s="48">
        <f t="shared" si="8"/>
        <v>204927.4687243629</v>
      </c>
      <c r="L52" s="43">
        <f t="shared" si="2"/>
        <v>-15763.651440335645</v>
      </c>
      <c r="M52" s="75">
        <f t="shared" si="3"/>
        <v>189163.81728402726</v>
      </c>
      <c r="N52" s="32"/>
      <c r="O52" s="76">
        <f t="shared" si="12"/>
        <v>-397615.68000000011</v>
      </c>
      <c r="P52" s="39">
        <f t="shared" si="12"/>
        <v>25831.567606660581</v>
      </c>
      <c r="Q52" s="88">
        <f t="shared" si="10"/>
        <v>378327.63456805563</v>
      </c>
      <c r="R52" s="32"/>
    </row>
    <row r="53" spans="2:18" x14ac:dyDescent="0.45">
      <c r="B53" s="7"/>
      <c r="C53" s="19">
        <f t="shared" si="11"/>
        <v>45222</v>
      </c>
      <c r="D53" s="26">
        <f t="shared" si="4"/>
        <v>25</v>
      </c>
      <c r="E53" s="34">
        <f t="shared" si="5"/>
        <v>195707.33945874372</v>
      </c>
      <c r="F53" s="43">
        <f t="shared" si="6"/>
        <v>-16567.32</v>
      </c>
      <c r="G53" s="47">
        <f t="shared" si="0"/>
        <v>514.29285239947205</v>
      </c>
      <c r="H53" s="60">
        <f t="shared" si="7"/>
        <v>179654.31231114318</v>
      </c>
      <c r="J53" s="74">
        <f t="shared" si="1"/>
        <v>25</v>
      </c>
      <c r="K53" s="48">
        <f t="shared" si="8"/>
        <v>189163.81728402726</v>
      </c>
      <c r="L53" s="43">
        <f t="shared" si="2"/>
        <v>-15763.651440335645</v>
      </c>
      <c r="M53" s="75">
        <f t="shared" si="3"/>
        <v>173400.16584369162</v>
      </c>
      <c r="N53" s="32"/>
      <c r="O53" s="76">
        <f t="shared" si="12"/>
        <v>-414183.00000000012</v>
      </c>
      <c r="P53" s="39">
        <f t="shared" si="12"/>
        <v>26345.860459060052</v>
      </c>
      <c r="Q53" s="88">
        <f t="shared" si="10"/>
        <v>394091.2860083913</v>
      </c>
      <c r="R53" s="32"/>
    </row>
    <row r="54" spans="2:18" x14ac:dyDescent="0.45">
      <c r="B54" s="7"/>
      <c r="C54" s="19">
        <f t="shared" si="11"/>
        <v>45253</v>
      </c>
      <c r="D54" s="26">
        <f t="shared" si="4"/>
        <v>26</v>
      </c>
      <c r="E54" s="34">
        <f t="shared" si="5"/>
        <v>179654.31231114318</v>
      </c>
      <c r="F54" s="43">
        <f t="shared" si="6"/>
        <v>-16567.32</v>
      </c>
      <c r="G54" s="47">
        <f t="shared" si="0"/>
        <v>468.20623732412309</v>
      </c>
      <c r="H54" s="60">
        <f t="shared" si="7"/>
        <v>163555.19854846731</v>
      </c>
      <c r="J54" s="74">
        <f t="shared" si="1"/>
        <v>26</v>
      </c>
      <c r="K54" s="48">
        <f t="shared" si="8"/>
        <v>173400.16584369162</v>
      </c>
      <c r="L54" s="43">
        <f t="shared" si="2"/>
        <v>-15763.651440335645</v>
      </c>
      <c r="M54" s="75">
        <f t="shared" si="3"/>
        <v>157636.51440335598</v>
      </c>
      <c r="N54" s="32"/>
      <c r="O54" s="76">
        <f t="shared" si="12"/>
        <v>-430750.32000000012</v>
      </c>
      <c r="P54" s="39">
        <f t="shared" si="12"/>
        <v>26814.066696384176</v>
      </c>
      <c r="Q54" s="88">
        <f t="shared" si="10"/>
        <v>409854.93744872697</v>
      </c>
      <c r="R54" s="32"/>
    </row>
    <row r="55" spans="2:18" x14ac:dyDescent="0.45">
      <c r="B55" s="7"/>
      <c r="C55" s="19">
        <f t="shared" si="11"/>
        <v>45283</v>
      </c>
      <c r="D55" s="26">
        <f t="shared" si="4"/>
        <v>27</v>
      </c>
      <c r="E55" s="34">
        <f t="shared" si="5"/>
        <v>163555.19854846731</v>
      </c>
      <c r="F55" s="43">
        <f t="shared" si="6"/>
        <v>-16567.32</v>
      </c>
      <c r="G55" s="47">
        <f t="shared" si="0"/>
        <v>421.98731224458783</v>
      </c>
      <c r="H55" s="60">
        <f t="shared" si="7"/>
        <v>147409.8658607119</v>
      </c>
      <c r="J55" s="74">
        <f t="shared" si="1"/>
        <v>27</v>
      </c>
      <c r="K55" s="48">
        <f t="shared" si="8"/>
        <v>157636.51440335598</v>
      </c>
      <c r="L55" s="43">
        <f t="shared" si="2"/>
        <v>-15763.651440335645</v>
      </c>
      <c r="M55" s="75">
        <f t="shared" si="3"/>
        <v>141872.86296302034</v>
      </c>
      <c r="N55" s="32"/>
      <c r="O55" s="76">
        <f t="shared" si="12"/>
        <v>-447317.64000000013</v>
      </c>
      <c r="P55" s="39">
        <f t="shared" si="12"/>
        <v>27236.054008628762</v>
      </c>
      <c r="Q55" s="88">
        <f t="shared" si="10"/>
        <v>425618.58888906264</v>
      </c>
      <c r="R55" s="32"/>
    </row>
    <row r="56" spans="2:18" x14ac:dyDescent="0.45">
      <c r="B56" s="7"/>
      <c r="C56" s="19">
        <f t="shared" si="11"/>
        <v>45314</v>
      </c>
      <c r="D56" s="26">
        <f t="shared" si="4"/>
        <v>28</v>
      </c>
      <c r="E56" s="34">
        <f t="shared" si="5"/>
        <v>147409.8658607119</v>
      </c>
      <c r="F56" s="43">
        <f t="shared" si="6"/>
        <v>-16567.32</v>
      </c>
      <c r="G56" s="47">
        <f t="shared" si="0"/>
        <v>375.63569731224459</v>
      </c>
      <c r="H56" s="60">
        <f t="shared" si="7"/>
        <v>131218.18155802414</v>
      </c>
      <c r="J56" s="74">
        <f t="shared" si="1"/>
        <v>28</v>
      </c>
      <c r="K56" s="48">
        <f t="shared" si="8"/>
        <v>141872.86296302034</v>
      </c>
      <c r="L56" s="43">
        <f t="shared" si="2"/>
        <v>-15763.651440335645</v>
      </c>
      <c r="M56" s="75">
        <f t="shared" si="3"/>
        <v>126109.21152268469</v>
      </c>
      <c r="N56" s="32"/>
      <c r="O56" s="76">
        <f t="shared" si="12"/>
        <v>-463884.96000000014</v>
      </c>
      <c r="P56" s="39">
        <f t="shared" si="12"/>
        <v>27611.689705941008</v>
      </c>
      <c r="Q56" s="88">
        <f t="shared" si="10"/>
        <v>441382.24032939831</v>
      </c>
      <c r="R56" s="32"/>
    </row>
    <row r="57" spans="2:18" x14ac:dyDescent="0.45">
      <c r="B57" s="7"/>
      <c r="C57" s="19">
        <f t="shared" si="11"/>
        <v>45345</v>
      </c>
      <c r="D57" s="26">
        <f t="shared" si="4"/>
        <v>29</v>
      </c>
      <c r="E57" s="34">
        <f t="shared" si="5"/>
        <v>131218.18155802414</v>
      </c>
      <c r="F57" s="43">
        <f t="shared" si="6"/>
        <v>-16567.32</v>
      </c>
      <c r="G57" s="47">
        <f t="shared" si="0"/>
        <v>329.15101158796489</v>
      </c>
      <c r="H57" s="60">
        <f t="shared" si="7"/>
        <v>114980.0125696121</v>
      </c>
      <c r="J57" s="74">
        <f t="shared" si="1"/>
        <v>29</v>
      </c>
      <c r="K57" s="48">
        <f t="shared" si="8"/>
        <v>126109.21152268469</v>
      </c>
      <c r="L57" s="43">
        <f t="shared" si="2"/>
        <v>-15763.651440335645</v>
      </c>
      <c r="M57" s="75">
        <f t="shared" si="3"/>
        <v>110345.56008234905</v>
      </c>
      <c r="N57" s="32"/>
      <c r="O57" s="76">
        <f t="shared" si="12"/>
        <v>-480452.28000000014</v>
      </c>
      <c r="P57" s="39">
        <f t="shared" si="12"/>
        <v>27940.840717528972</v>
      </c>
      <c r="Q57" s="88">
        <f t="shared" si="10"/>
        <v>457145.89176973398</v>
      </c>
      <c r="R57" s="32"/>
    </row>
    <row r="58" spans="2:18" x14ac:dyDescent="0.45">
      <c r="B58" s="7"/>
      <c r="C58" s="19">
        <f t="shared" si="11"/>
        <v>45374</v>
      </c>
      <c r="D58" s="26">
        <f t="shared" si="4"/>
        <v>30</v>
      </c>
      <c r="E58" s="34">
        <f t="shared" si="5"/>
        <v>114980.0125696121</v>
      </c>
      <c r="F58" s="43">
        <f t="shared" si="6"/>
        <v>-16567.32</v>
      </c>
      <c r="G58" s="47">
        <f t="shared" si="0"/>
        <v>282.5328730389827</v>
      </c>
      <c r="H58" s="60">
        <f t="shared" si="7"/>
        <v>98695.225442651077</v>
      </c>
      <c r="J58" s="74">
        <f t="shared" si="1"/>
        <v>30</v>
      </c>
      <c r="K58" s="48">
        <f t="shared" si="8"/>
        <v>110345.56008234905</v>
      </c>
      <c r="L58" s="43">
        <f t="shared" si="2"/>
        <v>-15763.651440335645</v>
      </c>
      <c r="M58" s="75">
        <f t="shared" si="3"/>
        <v>94581.908642013412</v>
      </c>
      <c r="N58" s="32"/>
      <c r="O58" s="76">
        <f t="shared" si="12"/>
        <v>-497019.60000000015</v>
      </c>
      <c r="P58" s="39">
        <f t="shared" si="12"/>
        <v>28223.373590567953</v>
      </c>
      <c r="Q58" s="88">
        <f t="shared" si="10"/>
        <v>472909.54321006965</v>
      </c>
      <c r="R58" s="32"/>
    </row>
    <row r="59" spans="2:18" x14ac:dyDescent="0.45">
      <c r="B59" s="7"/>
      <c r="C59" s="19">
        <f t="shared" si="11"/>
        <v>45405</v>
      </c>
      <c r="D59" s="26">
        <f t="shared" si="4"/>
        <v>31</v>
      </c>
      <c r="E59" s="34">
        <f t="shared" si="5"/>
        <v>98695.225442651077</v>
      </c>
      <c r="F59" s="43">
        <f t="shared" si="6"/>
        <v>-16567.32</v>
      </c>
      <c r="G59" s="47">
        <f t="shared" si="0"/>
        <v>235.78089853575455</v>
      </c>
      <c r="H59" s="60">
        <f t="shared" si="7"/>
        <v>82363.686341186825</v>
      </c>
      <c r="J59" s="74">
        <f t="shared" si="1"/>
        <v>31</v>
      </c>
      <c r="K59" s="48">
        <f t="shared" si="8"/>
        <v>94581.908642013412</v>
      </c>
      <c r="L59" s="43">
        <f t="shared" si="2"/>
        <v>-15763.651440335645</v>
      </c>
      <c r="M59" s="75">
        <f t="shared" si="3"/>
        <v>78818.25720167777</v>
      </c>
      <c r="N59" s="32"/>
      <c r="O59" s="76">
        <f t="shared" si="12"/>
        <v>-513586.92000000016</v>
      </c>
      <c r="P59" s="39">
        <f t="shared" si="12"/>
        <v>28459.154489103708</v>
      </c>
      <c r="Q59" s="88">
        <f t="shared" si="10"/>
        <v>488673.19465040532</v>
      </c>
      <c r="R59" s="32"/>
    </row>
    <row r="60" spans="2:18" x14ac:dyDescent="0.45">
      <c r="B60" s="7"/>
      <c r="C60" s="19">
        <f t="shared" si="11"/>
        <v>45435</v>
      </c>
      <c r="D60" s="26">
        <f t="shared" si="4"/>
        <v>32</v>
      </c>
      <c r="E60" s="34">
        <f t="shared" si="5"/>
        <v>82363.686341186825</v>
      </c>
      <c r="F60" s="43">
        <f t="shared" si="6"/>
        <v>-16567.32</v>
      </c>
      <c r="G60" s="47">
        <f t="shared" si="0"/>
        <v>188.89470384881076</v>
      </c>
      <c r="H60" s="60">
        <f t="shared" si="7"/>
        <v>65985.261045035644</v>
      </c>
      <c r="J60" s="74">
        <f t="shared" si="1"/>
        <v>32</v>
      </c>
      <c r="K60" s="48">
        <f t="shared" si="8"/>
        <v>78818.25720167777</v>
      </c>
      <c r="L60" s="43">
        <f t="shared" si="2"/>
        <v>-15763.651440335645</v>
      </c>
      <c r="M60" s="75">
        <f t="shared" si="3"/>
        <v>63054.605761342129</v>
      </c>
      <c r="N60" s="32"/>
      <c r="O60" s="76">
        <f t="shared" si="12"/>
        <v>-530154.24000000011</v>
      </c>
      <c r="P60" s="39">
        <f t="shared" si="12"/>
        <v>28648.04919295252</v>
      </c>
      <c r="Q60" s="88">
        <f t="shared" si="10"/>
        <v>504436.84609074099</v>
      </c>
      <c r="R60" s="32"/>
    </row>
    <row r="61" spans="2:18" x14ac:dyDescent="0.45">
      <c r="B61" s="7"/>
      <c r="C61" s="19">
        <f t="shared" si="11"/>
        <v>45466</v>
      </c>
      <c r="D61" s="26">
        <f t="shared" si="4"/>
        <v>33</v>
      </c>
      <c r="E61" s="34">
        <f t="shared" si="5"/>
        <v>65985.261045035644</v>
      </c>
      <c r="F61" s="43">
        <f t="shared" si="6"/>
        <v>-16567.32</v>
      </c>
      <c r="G61" s="47">
        <f t="shared" si="0"/>
        <v>141.87390364559786</v>
      </c>
      <c r="H61" s="60">
        <f t="shared" si="7"/>
        <v>49559.81494868124</v>
      </c>
      <c r="J61" s="74">
        <f t="shared" si="1"/>
        <v>33</v>
      </c>
      <c r="K61" s="48">
        <f t="shared" si="8"/>
        <v>63054.605761342129</v>
      </c>
      <c r="L61" s="43">
        <f t="shared" si="2"/>
        <v>-15763.651440335645</v>
      </c>
      <c r="M61" s="75">
        <f t="shared" si="3"/>
        <v>47290.954321006488</v>
      </c>
      <c r="N61" s="32"/>
      <c r="O61" s="76">
        <f t="shared" si="12"/>
        <v>-546721.56000000006</v>
      </c>
      <c r="P61" s="39">
        <f t="shared" si="12"/>
        <v>28789.923096598119</v>
      </c>
      <c r="Q61" s="88">
        <f t="shared" si="10"/>
        <v>520200.49753107666</v>
      </c>
      <c r="R61" s="32"/>
    </row>
    <row r="62" spans="2:18" x14ac:dyDescent="0.45">
      <c r="B62" s="7"/>
      <c r="C62" s="19">
        <f t="shared" si="11"/>
        <v>45496</v>
      </c>
      <c r="D62" s="26">
        <f t="shared" si="4"/>
        <v>34</v>
      </c>
      <c r="E62" s="34">
        <f t="shared" si="5"/>
        <v>49559.81494868124</v>
      </c>
      <c r="F62" s="43">
        <f t="shared" si="6"/>
        <v>-16567.32</v>
      </c>
      <c r="G62" s="47">
        <f t="shared" si="0"/>
        <v>94.71811148731156</v>
      </c>
      <c r="H62" s="60">
        <f t="shared" si="7"/>
        <v>33087.213060168549</v>
      </c>
      <c r="J62" s="74">
        <f t="shared" si="1"/>
        <v>34</v>
      </c>
      <c r="K62" s="48">
        <f t="shared" si="8"/>
        <v>47290.954321006488</v>
      </c>
      <c r="L62" s="43">
        <f t="shared" si="2"/>
        <v>-15763.651440335645</v>
      </c>
      <c r="M62" s="75">
        <f t="shared" si="3"/>
        <v>31527.302880670843</v>
      </c>
      <c r="N62" s="32"/>
      <c r="O62" s="76">
        <f t="shared" ref="O62:P64" si="13">+O61+F62</f>
        <v>-563288.88</v>
      </c>
      <c r="P62" s="39">
        <f t="shared" si="13"/>
        <v>28884.641208085432</v>
      </c>
      <c r="Q62" s="88">
        <f t="shared" si="10"/>
        <v>535964.14897141233</v>
      </c>
      <c r="R62" s="32"/>
    </row>
    <row r="63" spans="2:18" x14ac:dyDescent="0.45">
      <c r="B63" s="7"/>
      <c r="C63" s="19">
        <f t="shared" si="11"/>
        <v>45527</v>
      </c>
      <c r="D63" s="26">
        <f t="shared" si="4"/>
        <v>35</v>
      </c>
      <c r="E63" s="34">
        <f t="shared" si="5"/>
        <v>33087.213060168549</v>
      </c>
      <c r="F63" s="43">
        <f t="shared" si="6"/>
        <v>-16567.32</v>
      </c>
      <c r="G63" s="47">
        <f t="shared" si="0"/>
        <v>47.426939825721</v>
      </c>
      <c r="H63" s="60">
        <f t="shared" si="7"/>
        <v>16567.31999999427</v>
      </c>
      <c r="J63" s="74">
        <f t="shared" si="1"/>
        <v>35</v>
      </c>
      <c r="K63" s="48">
        <f t="shared" si="8"/>
        <v>31527.302880670843</v>
      </c>
      <c r="L63" s="43">
        <f t="shared" si="2"/>
        <v>-15763.651440335645</v>
      </c>
      <c r="M63" s="75">
        <f t="shared" si="3"/>
        <v>15763.651440335198</v>
      </c>
      <c r="N63" s="32"/>
      <c r="O63" s="76">
        <f t="shared" si="13"/>
        <v>-579856.19999999995</v>
      </c>
      <c r="P63" s="39">
        <f t="shared" si="13"/>
        <v>28932.068147911152</v>
      </c>
      <c r="Q63" s="88">
        <f t="shared" si="10"/>
        <v>551727.800411748</v>
      </c>
      <c r="R63" s="32"/>
    </row>
    <row r="64" spans="2:18" x14ac:dyDescent="0.45">
      <c r="B64" s="7"/>
      <c r="C64" s="19">
        <f t="shared" si="11"/>
        <v>45558</v>
      </c>
      <c r="D64" s="26">
        <f t="shared" si="4"/>
        <v>36</v>
      </c>
      <c r="E64" s="34">
        <f t="shared" si="5"/>
        <v>16567.31999999427</v>
      </c>
      <c r="F64" s="43">
        <f t="shared" si="6"/>
        <v>-16567.32</v>
      </c>
      <c r="G64" s="47">
        <f t="shared" si="0"/>
        <v>-1.6449723198259422E-11</v>
      </c>
      <c r="H64" s="60">
        <f t="shared" si="7"/>
        <v>-5.7462663443677077E-9</v>
      </c>
      <c r="J64" s="74">
        <f t="shared" si="1"/>
        <v>36</v>
      </c>
      <c r="K64" s="48">
        <f t="shared" si="8"/>
        <v>15763.651440335198</v>
      </c>
      <c r="L64" s="43">
        <f t="shared" si="2"/>
        <v>-15763.651440335645</v>
      </c>
      <c r="M64" s="75">
        <f t="shared" si="3"/>
        <v>-4.4747139327228069E-10</v>
      </c>
      <c r="N64" s="32"/>
      <c r="O64" s="76">
        <f t="shared" si="13"/>
        <v>-596423.5199999999</v>
      </c>
      <c r="P64" s="39">
        <f t="shared" si="13"/>
        <v>28932.068147911134</v>
      </c>
      <c r="Q64" s="88">
        <f t="shared" si="10"/>
        <v>567491.45185208367</v>
      </c>
      <c r="R64" s="32"/>
    </row>
    <row r="65" spans="2:18" x14ac:dyDescent="0.45">
      <c r="B65" s="7"/>
      <c r="C65" s="19">
        <f t="shared" si="11"/>
        <v>45588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89"/>
      <c r="P65" s="8"/>
      <c r="Q65" s="90"/>
      <c r="R65" s="32"/>
    </row>
    <row r="66" spans="2:18" x14ac:dyDescent="0.45">
      <c r="B66" s="7"/>
      <c r="C66" s="19">
        <f t="shared" si="11"/>
        <v>45619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89"/>
      <c r="P66" s="8"/>
      <c r="Q66" s="90"/>
      <c r="R66" s="32"/>
    </row>
    <row r="67" spans="2:18" x14ac:dyDescent="0.45">
      <c r="B67" s="7"/>
      <c r="C67" s="19">
        <f t="shared" si="11"/>
        <v>45649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89"/>
      <c r="P67" s="8"/>
      <c r="Q67" s="90"/>
      <c r="R67" s="32"/>
    </row>
    <row r="68" spans="2:18" x14ac:dyDescent="0.45">
      <c r="B68" s="7"/>
      <c r="C68" s="19">
        <f t="shared" si="11"/>
        <v>45680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45711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45739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45770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45800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45831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45861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45892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45923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45953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45984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46014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46045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46076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46104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46135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46165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46196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46226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46257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46288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46318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46349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46379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46410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46441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46469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4">DATE(YEAR(C94),MONTH(C94)+1,DAY(C94))</f>
        <v>46500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4"/>
        <v>46530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4"/>
        <v>46561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4"/>
        <v>46591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4"/>
        <v>46622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4"/>
        <v>46653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4"/>
        <v>46683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4"/>
        <v>46714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4"/>
        <v>46744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4"/>
        <v>46775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4"/>
        <v>46806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4"/>
        <v>46835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4"/>
        <v>46866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-5.5879354476928711E-9</v>
      </c>
      <c r="F110" s="43">
        <f>SUM(F29:F107)</f>
        <v>-596423.5199999999</v>
      </c>
      <c r="G110" s="43">
        <f>SUM(G29:G107)</f>
        <v>28932.068147911134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567491.45185208321</v>
      </c>
      <c r="G116" s="119">
        <f>INDEX(M:M,MATCH(DATE(2021,12,DAY(D10)),C:C))</f>
        <v>520200.49753107619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-45086.208404426521</v>
      </c>
      <c r="G119" s="113">
        <f ca="1">IFERROR(SUM(INDIRECT("F"&amp;MATCH(DATE(2022,1,DAY(D10)),C:C)):INDIRECT("G"&amp;MATCH(DATE(2022,1,DAY(D10)),C:C)+11)),VALUE("0"))</f>
        <v>-184272.91281913748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-522405.24344766233</v>
      </c>
      <c r="G123" s="113">
        <f ca="1">IFERROR(SUM(INDIRECT("F"&amp;MATCH(DATE(2023,1,DAY(D10)),C:C)):G107),VALUE("0"))</f>
        <v>-338132.33062852488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-198807.84000000005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-347913.72000000009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23739-E51C-461A-A3AA-E8F093525BD9}">
  <dimension ref="B1:R130"/>
  <sheetViews>
    <sheetView tabSelected="1" zoomScale="85" zoomScaleNormal="85" workbookViewId="0">
      <selection activeCell="D1" sqref="D1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257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19730.2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44501</v>
      </c>
      <c r="E10" s="12">
        <f>VLOOKUP($C$2,'Lease Summary'!D:H,4,FALSE)</f>
        <v>44865</v>
      </c>
      <c r="F10">
        <f>DATEDIF(D10,E10,"m")+1</f>
        <v>12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12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11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1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19730.2</v>
      </c>
      <c r="G22" s="7" t="s">
        <v>229</v>
      </c>
      <c r="H22" s="53">
        <f>-PV(F16,F12,F22,0,1)</f>
        <v>233069.98047897831</v>
      </c>
      <c r="J22" s="17" t="s">
        <v>234</v>
      </c>
      <c r="K22" s="22"/>
      <c r="L22" s="7"/>
      <c r="M22" s="65">
        <f>H22</f>
        <v>233069.98047897831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44501</v>
      </c>
      <c r="D29" s="27">
        <v>1</v>
      </c>
      <c r="E29" s="33">
        <f>H22</f>
        <v>233069.98047897831</v>
      </c>
      <c r="F29" s="42">
        <f>-D7</f>
        <v>-19730.2</v>
      </c>
      <c r="G29" s="46">
        <f t="shared" ref="G29:G40" si="0">((E29+F29)*($F$16))</f>
        <v>612.47690250519088</v>
      </c>
      <c r="H29" s="59">
        <f>SUM(E29:G29)</f>
        <v>213952.25738148348</v>
      </c>
      <c r="J29" s="69">
        <f t="shared" ref="J29:J40" si="1">D29</f>
        <v>1</v>
      </c>
      <c r="K29" s="70">
        <f>M22</f>
        <v>233069.98047897831</v>
      </c>
      <c r="L29" s="42">
        <f t="shared" ref="L29:L40" si="2">-$M$22/$F$12</f>
        <v>-19422.498373248192</v>
      </c>
      <c r="M29" s="71">
        <f t="shared" ref="M29:M40" si="3">K29+L29</f>
        <v>213647.4821057301</v>
      </c>
      <c r="N29" s="32"/>
      <c r="O29" s="72">
        <f>+F29</f>
        <v>-19730.2</v>
      </c>
      <c r="P29" s="73">
        <f>+G29</f>
        <v>612.47690250519088</v>
      </c>
      <c r="Q29" s="71">
        <f>-L29</f>
        <v>19422.498373248192</v>
      </c>
      <c r="R29" s="85"/>
    </row>
    <row r="30" spans="2:18" x14ac:dyDescent="0.45">
      <c r="B30" s="7"/>
      <c r="C30" s="19">
        <f>DATE(YEAR(C29),MONTH(C29)+1,DAY(C29))</f>
        <v>44531</v>
      </c>
      <c r="D30" s="26">
        <f t="shared" ref="D30:D40" si="4">D29+1</f>
        <v>2</v>
      </c>
      <c r="E30" s="34">
        <f t="shared" ref="E30:E40" si="5">H29</f>
        <v>213952.25738148348</v>
      </c>
      <c r="F30" s="43">
        <f t="shared" ref="F30:F40" si="6">F29</f>
        <v>-19730.2</v>
      </c>
      <c r="G30" s="47">
        <f t="shared" si="0"/>
        <v>557.591855752931</v>
      </c>
      <c r="H30" s="60">
        <f t="shared" ref="H30:H40" si="7">SUM(E30:G30)</f>
        <v>194779.64923723639</v>
      </c>
      <c r="J30" s="74">
        <f t="shared" si="1"/>
        <v>2</v>
      </c>
      <c r="K30" s="48">
        <f t="shared" ref="K30:K40" si="8">M29</f>
        <v>213647.4821057301</v>
      </c>
      <c r="L30" s="43">
        <f t="shared" si="2"/>
        <v>-19422.498373248192</v>
      </c>
      <c r="M30" s="75">
        <f t="shared" si="3"/>
        <v>194224.98373248189</v>
      </c>
      <c r="N30" s="32"/>
      <c r="O30" s="76">
        <f t="shared" ref="O30:P40" si="9">+O29+F30</f>
        <v>-39460.400000000001</v>
      </c>
      <c r="P30" s="77">
        <f t="shared" si="9"/>
        <v>1170.0687582581218</v>
      </c>
      <c r="Q30" s="75">
        <f t="shared" ref="Q30:Q40" si="10">+Q29-L30</f>
        <v>38844.996746496385</v>
      </c>
      <c r="R30" s="86"/>
    </row>
    <row r="31" spans="2:18" x14ac:dyDescent="0.45">
      <c r="B31" s="7"/>
      <c r="C31" s="19">
        <f t="shared" ref="C31:C94" si="11">DATE(YEAR(C30),MONTH(C30)+1,DAY(C30))</f>
        <v>44562</v>
      </c>
      <c r="D31" s="26">
        <f t="shared" si="4"/>
        <v>3</v>
      </c>
      <c r="E31" s="34">
        <f t="shared" si="5"/>
        <v>194779.64923723639</v>
      </c>
      <c r="F31" s="43">
        <f t="shared" si="6"/>
        <v>-19730.2</v>
      </c>
      <c r="G31" s="47">
        <f t="shared" si="0"/>
        <v>502.54923959025359</v>
      </c>
      <c r="H31" s="60">
        <f t="shared" si="7"/>
        <v>175551.99847682661</v>
      </c>
      <c r="J31" s="74">
        <f t="shared" si="1"/>
        <v>3</v>
      </c>
      <c r="K31" s="48">
        <f t="shared" si="8"/>
        <v>194224.98373248189</v>
      </c>
      <c r="L31" s="43">
        <f t="shared" si="2"/>
        <v>-19422.498373248192</v>
      </c>
      <c r="M31" s="75">
        <f t="shared" si="3"/>
        <v>174802.48535923369</v>
      </c>
      <c r="N31" s="32"/>
      <c r="O31" s="76">
        <f t="shared" si="9"/>
        <v>-59190.600000000006</v>
      </c>
      <c r="P31" s="39">
        <f t="shared" si="9"/>
        <v>1672.6179978483754</v>
      </c>
      <c r="Q31" s="88">
        <f t="shared" si="10"/>
        <v>58267.495119744577</v>
      </c>
      <c r="R31" s="86"/>
    </row>
    <row r="32" spans="2:18" x14ac:dyDescent="0.45">
      <c r="B32" s="7"/>
      <c r="C32" s="19">
        <f t="shared" si="11"/>
        <v>44593</v>
      </c>
      <c r="D32" s="26">
        <f t="shared" si="4"/>
        <v>4</v>
      </c>
      <c r="E32" s="34">
        <f t="shared" si="5"/>
        <v>175551.99847682661</v>
      </c>
      <c r="F32" s="43">
        <f t="shared" si="6"/>
        <v>-19730.2</v>
      </c>
      <c r="G32" s="47">
        <f t="shared" si="0"/>
        <v>447.34860165134018</v>
      </c>
      <c r="H32" s="60">
        <f t="shared" si="7"/>
        <v>156269.14707847795</v>
      </c>
      <c r="J32" s="74">
        <f t="shared" si="1"/>
        <v>4</v>
      </c>
      <c r="K32" s="48">
        <f t="shared" si="8"/>
        <v>174802.48535923369</v>
      </c>
      <c r="L32" s="43">
        <f t="shared" si="2"/>
        <v>-19422.498373248192</v>
      </c>
      <c r="M32" s="75">
        <f t="shared" si="3"/>
        <v>155379.98698598548</v>
      </c>
      <c r="N32" s="32"/>
      <c r="O32" s="76">
        <f t="shared" si="9"/>
        <v>-78920.800000000003</v>
      </c>
      <c r="P32" s="39">
        <f t="shared" si="9"/>
        <v>2119.9665994997154</v>
      </c>
      <c r="Q32" s="88">
        <f t="shared" si="10"/>
        <v>77689.993492992769</v>
      </c>
      <c r="R32" s="86"/>
    </row>
    <row r="33" spans="2:18" x14ac:dyDescent="0.45">
      <c r="B33" s="7"/>
      <c r="C33" s="19">
        <f t="shared" si="11"/>
        <v>44621</v>
      </c>
      <c r="D33" s="26">
        <f t="shared" si="4"/>
        <v>5</v>
      </c>
      <c r="E33" s="34">
        <f t="shared" si="5"/>
        <v>156269.14707847795</v>
      </c>
      <c r="F33" s="43">
        <f t="shared" si="6"/>
        <v>-19730.2</v>
      </c>
      <c r="G33" s="47">
        <f t="shared" si="0"/>
        <v>391.98948827167578</v>
      </c>
      <c r="H33" s="60">
        <f t="shared" si="7"/>
        <v>136930.93656674962</v>
      </c>
      <c r="J33" s="74">
        <f t="shared" si="1"/>
        <v>5</v>
      </c>
      <c r="K33" s="48">
        <f t="shared" si="8"/>
        <v>155379.98698598548</v>
      </c>
      <c r="L33" s="43">
        <f t="shared" si="2"/>
        <v>-19422.498373248192</v>
      </c>
      <c r="M33" s="75">
        <f t="shared" si="3"/>
        <v>135957.48861273727</v>
      </c>
      <c r="N33" s="32"/>
      <c r="O33" s="76">
        <f t="shared" si="9"/>
        <v>-98651</v>
      </c>
      <c r="P33" s="39">
        <f t="shared" si="9"/>
        <v>2511.9560877713911</v>
      </c>
      <c r="Q33" s="88">
        <f t="shared" si="10"/>
        <v>97112.491866240962</v>
      </c>
      <c r="R33" s="86"/>
    </row>
    <row r="34" spans="2:18" x14ac:dyDescent="0.45">
      <c r="B34" s="7"/>
      <c r="C34" s="19">
        <f t="shared" si="11"/>
        <v>44652</v>
      </c>
      <c r="D34" s="26">
        <f t="shared" si="4"/>
        <v>6</v>
      </c>
      <c r="E34" s="34">
        <f t="shared" si="5"/>
        <v>136930.93656674962</v>
      </c>
      <c r="F34" s="43">
        <f t="shared" si="6"/>
        <v>-19730.2</v>
      </c>
      <c r="G34" s="47">
        <f t="shared" si="0"/>
        <v>336.47144448432044</v>
      </c>
      <c r="H34" s="60">
        <f t="shared" si="7"/>
        <v>117537.20801123395</v>
      </c>
      <c r="J34" s="74">
        <f t="shared" si="1"/>
        <v>6</v>
      </c>
      <c r="K34" s="48">
        <f t="shared" si="8"/>
        <v>135957.48861273727</v>
      </c>
      <c r="L34" s="43">
        <f t="shared" si="2"/>
        <v>-19422.498373248192</v>
      </c>
      <c r="M34" s="75">
        <f t="shared" si="3"/>
        <v>116534.99023948908</v>
      </c>
      <c r="N34" s="32"/>
      <c r="O34" s="76">
        <f t="shared" si="9"/>
        <v>-118381.2</v>
      </c>
      <c r="P34" s="39">
        <f t="shared" si="9"/>
        <v>2848.4275322557114</v>
      </c>
      <c r="Q34" s="88">
        <f t="shared" si="10"/>
        <v>116534.99023948915</v>
      </c>
      <c r="R34" s="86"/>
    </row>
    <row r="35" spans="2:18" x14ac:dyDescent="0.45">
      <c r="B35" s="7"/>
      <c r="C35" s="19">
        <f t="shared" si="11"/>
        <v>44682</v>
      </c>
      <c r="D35" s="26">
        <f t="shared" si="4"/>
        <v>7</v>
      </c>
      <c r="E35" s="34">
        <f t="shared" si="5"/>
        <v>117537.20801123395</v>
      </c>
      <c r="F35" s="43">
        <f t="shared" si="6"/>
        <v>-19730.2</v>
      </c>
      <c r="G35" s="47">
        <f t="shared" si="0"/>
        <v>280.79401401617042</v>
      </c>
      <c r="H35" s="60">
        <f t="shared" si="7"/>
        <v>98087.802025250116</v>
      </c>
      <c r="J35" s="74">
        <f t="shared" si="1"/>
        <v>7</v>
      </c>
      <c r="K35" s="48">
        <f t="shared" si="8"/>
        <v>116534.99023948908</v>
      </c>
      <c r="L35" s="43">
        <f t="shared" si="2"/>
        <v>-19422.498373248192</v>
      </c>
      <c r="M35" s="75">
        <f t="shared" si="3"/>
        <v>97112.491866240889</v>
      </c>
      <c r="N35" s="32"/>
      <c r="O35" s="76">
        <f t="shared" si="9"/>
        <v>-138111.4</v>
      </c>
      <c r="P35" s="39">
        <f t="shared" si="9"/>
        <v>3129.2215462718818</v>
      </c>
      <c r="Q35" s="88">
        <f t="shared" si="10"/>
        <v>135957.48861273733</v>
      </c>
      <c r="R35" s="86"/>
    </row>
    <row r="36" spans="2:18" x14ac:dyDescent="0.45">
      <c r="B36" s="7"/>
      <c r="C36" s="19">
        <f t="shared" si="11"/>
        <v>44713</v>
      </c>
      <c r="D36" s="26">
        <f t="shared" si="4"/>
        <v>8</v>
      </c>
      <c r="E36" s="34">
        <f t="shared" si="5"/>
        <v>98087.802025250116</v>
      </c>
      <c r="F36" s="43">
        <f t="shared" si="6"/>
        <v>-19730.2</v>
      </c>
      <c r="G36" s="47">
        <f t="shared" si="0"/>
        <v>224.95673928420786</v>
      </c>
      <c r="H36" s="60">
        <f t="shared" si="7"/>
        <v>78582.558764534333</v>
      </c>
      <c r="J36" s="74">
        <f t="shared" si="1"/>
        <v>8</v>
      </c>
      <c r="K36" s="48">
        <f t="shared" si="8"/>
        <v>97112.491866240889</v>
      </c>
      <c r="L36" s="43">
        <f t="shared" si="2"/>
        <v>-19422.498373248192</v>
      </c>
      <c r="M36" s="75">
        <f t="shared" si="3"/>
        <v>77689.993492992697</v>
      </c>
      <c r="N36" s="32"/>
      <c r="O36" s="76">
        <f t="shared" si="9"/>
        <v>-157841.60000000001</v>
      </c>
      <c r="P36" s="39">
        <f t="shared" si="9"/>
        <v>3354.1782855560896</v>
      </c>
      <c r="Q36" s="88">
        <f t="shared" si="10"/>
        <v>155379.98698598554</v>
      </c>
      <c r="R36" s="86"/>
    </row>
    <row r="37" spans="2:18" x14ac:dyDescent="0.45">
      <c r="B37" s="7"/>
      <c r="C37" s="19">
        <f t="shared" si="11"/>
        <v>44743</v>
      </c>
      <c r="D37" s="26">
        <f t="shared" si="4"/>
        <v>9</v>
      </c>
      <c r="E37" s="34">
        <f t="shared" si="5"/>
        <v>78582.558764534333</v>
      </c>
      <c r="F37" s="43">
        <f t="shared" si="6"/>
        <v>-19730.2</v>
      </c>
      <c r="G37" s="47">
        <f t="shared" si="0"/>
        <v>168.95916139174062</v>
      </c>
      <c r="H37" s="60">
        <f t="shared" si="7"/>
        <v>59021.31792592608</v>
      </c>
      <c r="J37" s="74">
        <f t="shared" si="1"/>
        <v>9</v>
      </c>
      <c r="K37" s="48">
        <f t="shared" si="8"/>
        <v>77689.993492992697</v>
      </c>
      <c r="L37" s="43">
        <f t="shared" si="2"/>
        <v>-19422.498373248192</v>
      </c>
      <c r="M37" s="75">
        <f t="shared" si="3"/>
        <v>58267.495119744504</v>
      </c>
      <c r="N37" s="32"/>
      <c r="O37" s="76">
        <f t="shared" si="9"/>
        <v>-177571.80000000002</v>
      </c>
      <c r="P37" s="39">
        <f t="shared" si="9"/>
        <v>3523.1374469478301</v>
      </c>
      <c r="Q37" s="88">
        <f t="shared" si="10"/>
        <v>174802.48535923375</v>
      </c>
      <c r="R37" s="86"/>
    </row>
    <row r="38" spans="2:18" x14ac:dyDescent="0.45">
      <c r="B38" s="7"/>
      <c r="C38" s="19">
        <f t="shared" si="11"/>
        <v>44774</v>
      </c>
      <c r="D38" s="26">
        <f t="shared" si="4"/>
        <v>10</v>
      </c>
      <c r="E38" s="34">
        <f t="shared" si="5"/>
        <v>59021.31792592608</v>
      </c>
      <c r="F38" s="43">
        <f t="shared" si="6"/>
        <v>-19730.2</v>
      </c>
      <c r="G38" s="47">
        <f t="shared" si="0"/>
        <v>112.80082012463049</v>
      </c>
      <c r="H38" s="60">
        <f t="shared" si="7"/>
        <v>39403.918746050716</v>
      </c>
      <c r="J38" s="74">
        <f t="shared" si="1"/>
        <v>10</v>
      </c>
      <c r="K38" s="48">
        <f t="shared" si="8"/>
        <v>58267.495119744504</v>
      </c>
      <c r="L38" s="43">
        <f t="shared" si="2"/>
        <v>-19422.498373248192</v>
      </c>
      <c r="M38" s="75">
        <f t="shared" si="3"/>
        <v>38844.996746496312</v>
      </c>
      <c r="N38" s="32"/>
      <c r="O38" s="76">
        <f t="shared" si="9"/>
        <v>-197302.00000000003</v>
      </c>
      <c r="P38" s="39">
        <f t="shared" si="9"/>
        <v>3635.9382670724608</v>
      </c>
      <c r="Q38" s="88">
        <f t="shared" si="10"/>
        <v>194224.98373248195</v>
      </c>
      <c r="R38" s="87"/>
    </row>
    <row r="39" spans="2:18" x14ac:dyDescent="0.45">
      <c r="B39" s="7"/>
      <c r="C39" s="19">
        <f t="shared" si="11"/>
        <v>44805</v>
      </c>
      <c r="D39" s="26">
        <f t="shared" si="4"/>
        <v>11</v>
      </c>
      <c r="E39" s="34">
        <f t="shared" si="5"/>
        <v>39403.918746050716</v>
      </c>
      <c r="F39" s="43">
        <f t="shared" si="6"/>
        <v>-19730.2</v>
      </c>
      <c r="G39" s="47">
        <f t="shared" si="0"/>
        <v>56.481253947511121</v>
      </c>
      <c r="H39" s="60">
        <f t="shared" si="7"/>
        <v>19730.199999998225</v>
      </c>
      <c r="J39" s="74">
        <f t="shared" si="1"/>
        <v>11</v>
      </c>
      <c r="K39" s="48">
        <f t="shared" si="8"/>
        <v>38844.996746496312</v>
      </c>
      <c r="L39" s="43">
        <f t="shared" si="2"/>
        <v>-19422.498373248192</v>
      </c>
      <c r="M39" s="75">
        <f t="shared" si="3"/>
        <v>19422.49837324812</v>
      </c>
      <c r="N39" s="32"/>
      <c r="O39" s="76">
        <f t="shared" si="9"/>
        <v>-217032.20000000004</v>
      </c>
      <c r="P39" s="39">
        <f t="shared" si="9"/>
        <v>3692.4195210199719</v>
      </c>
      <c r="Q39" s="88">
        <f t="shared" si="10"/>
        <v>213647.48210573016</v>
      </c>
      <c r="R39" s="87"/>
    </row>
    <row r="40" spans="2:18" x14ac:dyDescent="0.45">
      <c r="B40" s="7"/>
      <c r="C40" s="19">
        <f t="shared" si="11"/>
        <v>44835</v>
      </c>
      <c r="D40" s="26">
        <f t="shared" si="4"/>
        <v>12</v>
      </c>
      <c r="E40" s="34">
        <f t="shared" si="5"/>
        <v>19730.199999998225</v>
      </c>
      <c r="F40" s="43">
        <f t="shared" si="6"/>
        <v>-19730.2</v>
      </c>
      <c r="G40" s="47">
        <f t="shared" si="0"/>
        <v>-5.0968031242860939E-12</v>
      </c>
      <c r="H40" s="60">
        <f t="shared" si="7"/>
        <v>-1.780430460985042E-9</v>
      </c>
      <c r="J40" s="74">
        <f t="shared" si="1"/>
        <v>12</v>
      </c>
      <c r="K40" s="48">
        <f t="shared" si="8"/>
        <v>19422.49837324812</v>
      </c>
      <c r="L40" s="43">
        <f t="shared" si="2"/>
        <v>-19422.498373248192</v>
      </c>
      <c r="M40" s="75">
        <f t="shared" si="3"/>
        <v>-7.2759576141834259E-11</v>
      </c>
      <c r="N40" s="32"/>
      <c r="O40" s="76">
        <f t="shared" si="9"/>
        <v>-236762.40000000005</v>
      </c>
      <c r="P40" s="39">
        <f t="shared" si="9"/>
        <v>3692.4195210199669</v>
      </c>
      <c r="Q40" s="88">
        <f t="shared" si="10"/>
        <v>233069.98047897837</v>
      </c>
      <c r="R40" s="87"/>
    </row>
    <row r="41" spans="2:18" x14ac:dyDescent="0.45">
      <c r="B41" s="7"/>
      <c r="C41" s="19">
        <f t="shared" si="11"/>
        <v>44866</v>
      </c>
      <c r="D41" s="26"/>
      <c r="E41" s="34"/>
      <c r="F41" s="43"/>
      <c r="G41" s="47"/>
      <c r="H41" s="60"/>
      <c r="J41" s="74"/>
      <c r="K41" s="48"/>
      <c r="L41" s="43"/>
      <c r="M41" s="75"/>
      <c r="N41" s="32"/>
      <c r="O41" s="76"/>
      <c r="P41" s="39"/>
      <c r="Q41" s="88"/>
      <c r="R41" s="87"/>
    </row>
    <row r="42" spans="2:18" x14ac:dyDescent="0.45">
      <c r="B42" s="7"/>
      <c r="C42" s="19">
        <f t="shared" si="11"/>
        <v>44896</v>
      </c>
      <c r="D42" s="26"/>
      <c r="E42" s="34"/>
      <c r="F42" s="43"/>
      <c r="G42" s="47"/>
      <c r="H42" s="60"/>
      <c r="J42" s="74"/>
      <c r="K42" s="48"/>
      <c r="L42" s="43"/>
      <c r="M42" s="75"/>
      <c r="N42" s="32"/>
      <c r="O42" s="76"/>
      <c r="P42" s="39"/>
      <c r="Q42" s="88"/>
      <c r="R42" s="87"/>
    </row>
    <row r="43" spans="2:18" x14ac:dyDescent="0.45">
      <c r="B43" s="7"/>
      <c r="C43" s="19">
        <f t="shared" si="11"/>
        <v>44927</v>
      </c>
      <c r="D43" s="26"/>
      <c r="E43" s="34"/>
      <c r="F43" s="43"/>
      <c r="G43" s="47"/>
      <c r="H43" s="60"/>
      <c r="J43" s="74"/>
      <c r="K43" s="48"/>
      <c r="L43" s="43"/>
      <c r="M43" s="75"/>
      <c r="N43" s="32"/>
      <c r="O43" s="76"/>
      <c r="P43" s="39"/>
      <c r="Q43" s="88"/>
      <c r="R43" s="87"/>
    </row>
    <row r="44" spans="2:18" x14ac:dyDescent="0.45">
      <c r="B44" s="7"/>
      <c r="C44" s="19">
        <f t="shared" si="11"/>
        <v>44958</v>
      </c>
      <c r="D44" s="26"/>
      <c r="E44" s="34"/>
      <c r="F44" s="43"/>
      <c r="G44" s="47"/>
      <c r="H44" s="60"/>
      <c r="J44" s="74"/>
      <c r="K44" s="48"/>
      <c r="L44" s="43"/>
      <c r="M44" s="75"/>
      <c r="N44" s="32"/>
      <c r="O44" s="76"/>
      <c r="P44" s="39"/>
      <c r="Q44" s="88"/>
      <c r="R44" s="87"/>
    </row>
    <row r="45" spans="2:18" x14ac:dyDescent="0.45">
      <c r="B45" s="7"/>
      <c r="C45" s="19">
        <f t="shared" si="11"/>
        <v>44986</v>
      </c>
      <c r="D45" s="26"/>
      <c r="E45" s="34"/>
      <c r="F45" s="43"/>
      <c r="G45" s="47"/>
      <c r="H45" s="60"/>
      <c r="J45" s="74"/>
      <c r="K45" s="48"/>
      <c r="L45" s="43"/>
      <c r="M45" s="75"/>
      <c r="N45" s="32"/>
      <c r="O45" s="76"/>
      <c r="P45" s="39"/>
      <c r="Q45" s="88"/>
      <c r="R45" s="87"/>
    </row>
    <row r="46" spans="2:18" x14ac:dyDescent="0.45">
      <c r="B46" s="7"/>
      <c r="C46" s="19">
        <f t="shared" si="11"/>
        <v>45017</v>
      </c>
      <c r="D46" s="26"/>
      <c r="E46" s="34"/>
      <c r="F46" s="43"/>
      <c r="G46" s="47"/>
      <c r="H46" s="60"/>
      <c r="J46" s="74"/>
      <c r="K46" s="48"/>
      <c r="L46" s="43"/>
      <c r="M46" s="75"/>
      <c r="N46" s="32"/>
      <c r="O46" s="76"/>
      <c r="P46" s="39"/>
      <c r="Q46" s="88"/>
      <c r="R46" s="87"/>
    </row>
    <row r="47" spans="2:18" x14ac:dyDescent="0.45">
      <c r="B47" s="7"/>
      <c r="C47" s="19">
        <f t="shared" si="11"/>
        <v>45047</v>
      </c>
      <c r="D47" s="26"/>
      <c r="E47" s="34"/>
      <c r="F47" s="43"/>
      <c r="G47" s="47"/>
      <c r="H47" s="60"/>
      <c r="J47" s="74"/>
      <c r="K47" s="48"/>
      <c r="L47" s="43"/>
      <c r="M47" s="75"/>
      <c r="N47" s="32"/>
      <c r="O47" s="76"/>
      <c r="P47" s="39"/>
      <c r="Q47" s="88"/>
      <c r="R47" s="87"/>
    </row>
    <row r="48" spans="2:18" x14ac:dyDescent="0.45">
      <c r="B48" s="7"/>
      <c r="C48" s="19">
        <f t="shared" si="11"/>
        <v>45078</v>
      </c>
      <c r="D48" s="26"/>
      <c r="E48" s="34"/>
      <c r="F48" s="43"/>
      <c r="G48" s="47"/>
      <c r="H48" s="60"/>
      <c r="J48" s="74"/>
      <c r="K48" s="48"/>
      <c r="L48" s="43"/>
      <c r="M48" s="75"/>
      <c r="N48" s="32"/>
      <c r="O48" s="76"/>
      <c r="P48" s="39"/>
      <c r="Q48" s="88"/>
      <c r="R48" s="87"/>
    </row>
    <row r="49" spans="2:18" x14ac:dyDescent="0.45">
      <c r="B49" s="7"/>
      <c r="C49" s="19">
        <f t="shared" si="11"/>
        <v>45108</v>
      </c>
      <c r="D49" s="26"/>
      <c r="E49" s="34"/>
      <c r="F49" s="43"/>
      <c r="G49" s="47"/>
      <c r="H49" s="60"/>
      <c r="J49" s="74"/>
      <c r="K49" s="48"/>
      <c r="L49" s="43"/>
      <c r="M49" s="75"/>
      <c r="N49" s="80"/>
      <c r="O49" s="76"/>
      <c r="P49" s="39"/>
      <c r="Q49" s="88"/>
      <c r="R49" s="87"/>
    </row>
    <row r="50" spans="2:18" x14ac:dyDescent="0.45">
      <c r="B50" s="7"/>
      <c r="C50" s="19">
        <f t="shared" si="11"/>
        <v>45139</v>
      </c>
      <c r="D50" s="26"/>
      <c r="E50" s="34"/>
      <c r="F50" s="43"/>
      <c r="G50" s="47"/>
      <c r="H50" s="60"/>
      <c r="J50" s="74"/>
      <c r="K50" s="48"/>
      <c r="L50" s="43"/>
      <c r="M50" s="75"/>
      <c r="N50" s="32"/>
      <c r="O50" s="76"/>
      <c r="P50" s="39"/>
      <c r="Q50" s="88"/>
      <c r="R50" s="32"/>
    </row>
    <row r="51" spans="2:18" x14ac:dyDescent="0.45">
      <c r="B51" s="7"/>
      <c r="C51" s="19">
        <f t="shared" si="11"/>
        <v>45170</v>
      </c>
      <c r="D51" s="26"/>
      <c r="E51" s="34"/>
      <c r="F51" s="43"/>
      <c r="G51" s="47"/>
      <c r="H51" s="60"/>
      <c r="J51" s="74"/>
      <c r="K51" s="48"/>
      <c r="L51" s="43"/>
      <c r="M51" s="75"/>
      <c r="N51" s="32"/>
      <c r="O51" s="76"/>
      <c r="P51" s="39"/>
      <c r="Q51" s="88"/>
      <c r="R51" s="32"/>
    </row>
    <row r="52" spans="2:18" x14ac:dyDescent="0.45">
      <c r="B52" s="7"/>
      <c r="C52" s="19">
        <f t="shared" si="11"/>
        <v>45200</v>
      </c>
      <c r="D52" s="26"/>
      <c r="E52" s="34"/>
      <c r="F52" s="43"/>
      <c r="G52" s="47"/>
      <c r="H52" s="60"/>
      <c r="J52" s="74"/>
      <c r="K52" s="48"/>
      <c r="L52" s="43"/>
      <c r="M52" s="75"/>
      <c r="N52" s="32"/>
      <c r="O52" s="76"/>
      <c r="P52" s="39"/>
      <c r="Q52" s="88"/>
      <c r="R52" s="32"/>
    </row>
    <row r="53" spans="2:18" x14ac:dyDescent="0.45">
      <c r="B53" s="7"/>
      <c r="C53" s="19">
        <f t="shared" si="11"/>
        <v>45231</v>
      </c>
      <c r="D53" s="26"/>
      <c r="E53" s="34"/>
      <c r="F53" s="43"/>
      <c r="G53" s="47"/>
      <c r="H53" s="60"/>
      <c r="J53" s="74"/>
      <c r="K53" s="48"/>
      <c r="L53" s="43"/>
      <c r="M53" s="75"/>
      <c r="N53" s="32"/>
      <c r="O53" s="76"/>
      <c r="P53" s="39"/>
      <c r="Q53" s="88"/>
      <c r="R53" s="32"/>
    </row>
    <row r="54" spans="2:18" x14ac:dyDescent="0.45">
      <c r="B54" s="7"/>
      <c r="C54" s="19">
        <f t="shared" si="11"/>
        <v>45261</v>
      </c>
      <c r="D54" s="26"/>
      <c r="E54" s="34"/>
      <c r="F54" s="43"/>
      <c r="G54" s="47"/>
      <c r="H54" s="60"/>
      <c r="J54" s="74"/>
      <c r="K54" s="48"/>
      <c r="L54" s="43"/>
      <c r="M54" s="75"/>
      <c r="N54" s="32"/>
      <c r="O54" s="76"/>
      <c r="P54" s="39"/>
      <c r="Q54" s="88"/>
      <c r="R54" s="32"/>
    </row>
    <row r="55" spans="2:18" x14ac:dyDescent="0.45">
      <c r="B55" s="7"/>
      <c r="C55" s="19">
        <f t="shared" si="11"/>
        <v>45292</v>
      </c>
      <c r="D55" s="26"/>
      <c r="E55" s="34"/>
      <c r="F55" s="43"/>
      <c r="G55" s="47"/>
      <c r="H55" s="60"/>
      <c r="J55" s="74"/>
      <c r="K55" s="48"/>
      <c r="L55" s="43"/>
      <c r="M55" s="75"/>
      <c r="N55" s="32"/>
      <c r="O55" s="76"/>
      <c r="P55" s="39"/>
      <c r="Q55" s="88"/>
      <c r="R55" s="32"/>
    </row>
    <row r="56" spans="2:18" x14ac:dyDescent="0.45">
      <c r="B56" s="7"/>
      <c r="C56" s="19">
        <f t="shared" si="11"/>
        <v>45323</v>
      </c>
      <c r="D56" s="26"/>
      <c r="E56" s="34"/>
      <c r="F56" s="43"/>
      <c r="G56" s="47"/>
      <c r="H56" s="60"/>
      <c r="J56" s="74"/>
      <c r="K56" s="48"/>
      <c r="L56" s="43"/>
      <c r="M56" s="75"/>
      <c r="N56" s="32"/>
      <c r="O56" s="76"/>
      <c r="P56" s="39"/>
      <c r="Q56" s="88"/>
      <c r="R56" s="32"/>
    </row>
    <row r="57" spans="2:18" x14ac:dyDescent="0.45">
      <c r="B57" s="7"/>
      <c r="C57" s="19">
        <f t="shared" si="11"/>
        <v>45352</v>
      </c>
      <c r="D57" s="26"/>
      <c r="E57" s="34"/>
      <c r="F57" s="43"/>
      <c r="G57" s="47"/>
      <c r="H57" s="60"/>
      <c r="J57" s="74"/>
      <c r="K57" s="48"/>
      <c r="L57" s="43"/>
      <c r="M57" s="75"/>
      <c r="N57" s="32"/>
      <c r="O57" s="76"/>
      <c r="P57" s="39"/>
      <c r="Q57" s="88"/>
      <c r="R57" s="32"/>
    </row>
    <row r="58" spans="2:18" x14ac:dyDescent="0.45">
      <c r="B58" s="7"/>
      <c r="C58" s="19">
        <f t="shared" si="11"/>
        <v>45383</v>
      </c>
      <c r="D58" s="26"/>
      <c r="E58" s="34"/>
      <c r="F58" s="43"/>
      <c r="G58" s="47"/>
      <c r="H58" s="60"/>
      <c r="J58" s="74"/>
      <c r="K58" s="48"/>
      <c r="L58" s="43"/>
      <c r="M58" s="75"/>
      <c r="N58" s="32"/>
      <c r="O58" s="76"/>
      <c r="P58" s="39"/>
      <c r="Q58" s="88"/>
      <c r="R58" s="32"/>
    </row>
    <row r="59" spans="2:18" x14ac:dyDescent="0.45">
      <c r="B59" s="7"/>
      <c r="C59" s="19">
        <f t="shared" si="11"/>
        <v>45413</v>
      </c>
      <c r="D59" s="26"/>
      <c r="E59" s="34"/>
      <c r="F59" s="43"/>
      <c r="G59" s="47"/>
      <c r="H59" s="60"/>
      <c r="J59" s="74"/>
      <c r="K59" s="48"/>
      <c r="L59" s="43"/>
      <c r="M59" s="75"/>
      <c r="N59" s="32"/>
      <c r="O59" s="76"/>
      <c r="P59" s="39"/>
      <c r="Q59" s="88"/>
      <c r="R59" s="32"/>
    </row>
    <row r="60" spans="2:18" x14ac:dyDescent="0.45">
      <c r="B60" s="7"/>
      <c r="C60" s="19">
        <f t="shared" si="11"/>
        <v>45444</v>
      </c>
      <c r="D60" s="26"/>
      <c r="E60" s="34"/>
      <c r="F60" s="43"/>
      <c r="G60" s="47"/>
      <c r="H60" s="60"/>
      <c r="J60" s="74"/>
      <c r="K60" s="48"/>
      <c r="L60" s="43"/>
      <c r="M60" s="75"/>
      <c r="N60" s="32"/>
      <c r="O60" s="76"/>
      <c r="P60" s="39"/>
      <c r="Q60" s="88"/>
      <c r="R60" s="32"/>
    </row>
    <row r="61" spans="2:18" x14ac:dyDescent="0.45">
      <c r="B61" s="7"/>
      <c r="C61" s="19">
        <f t="shared" si="11"/>
        <v>45474</v>
      </c>
      <c r="D61" s="26"/>
      <c r="E61" s="34"/>
      <c r="F61" s="43"/>
      <c r="G61" s="47"/>
      <c r="H61" s="60"/>
      <c r="J61" s="74"/>
      <c r="K61" s="48"/>
      <c r="L61" s="43"/>
      <c r="M61" s="75"/>
      <c r="N61" s="32"/>
      <c r="O61" s="76"/>
      <c r="P61" s="39"/>
      <c r="Q61" s="88"/>
      <c r="R61" s="32"/>
    </row>
    <row r="62" spans="2:18" x14ac:dyDescent="0.45">
      <c r="B62" s="7"/>
      <c r="C62" s="19">
        <f t="shared" si="11"/>
        <v>45505</v>
      </c>
      <c r="D62" s="26"/>
      <c r="E62" s="34"/>
      <c r="F62" s="43"/>
      <c r="G62" s="47"/>
      <c r="H62" s="60"/>
      <c r="J62" s="74"/>
      <c r="K62" s="48"/>
      <c r="L62" s="43"/>
      <c r="M62" s="75"/>
      <c r="N62" s="32"/>
      <c r="O62" s="76"/>
      <c r="P62" s="39"/>
      <c r="Q62" s="88"/>
      <c r="R62" s="32"/>
    </row>
    <row r="63" spans="2:18" x14ac:dyDescent="0.45">
      <c r="B63" s="7"/>
      <c r="C63" s="19">
        <f t="shared" si="11"/>
        <v>45536</v>
      </c>
      <c r="D63" s="26"/>
      <c r="E63" s="34"/>
      <c r="F63" s="43"/>
      <c r="G63" s="47"/>
      <c r="H63" s="60"/>
      <c r="J63" s="74"/>
      <c r="K63" s="48"/>
      <c r="L63" s="43"/>
      <c r="M63" s="75"/>
      <c r="N63" s="32"/>
      <c r="O63" s="76"/>
      <c r="P63" s="39"/>
      <c r="Q63" s="88"/>
      <c r="R63" s="32"/>
    </row>
    <row r="64" spans="2:18" x14ac:dyDescent="0.45">
      <c r="B64" s="7"/>
      <c r="C64" s="19">
        <f t="shared" si="11"/>
        <v>45566</v>
      </c>
      <c r="D64" s="26"/>
      <c r="E64" s="34"/>
      <c r="F64" s="43"/>
      <c r="G64" s="47"/>
      <c r="H64" s="60"/>
      <c r="J64" s="74"/>
      <c r="K64" s="48"/>
      <c r="L64" s="43"/>
      <c r="M64" s="75"/>
      <c r="N64" s="32"/>
      <c r="O64" s="76"/>
      <c r="P64" s="39"/>
      <c r="Q64" s="88"/>
      <c r="R64" s="32"/>
    </row>
    <row r="65" spans="2:18" x14ac:dyDescent="0.45">
      <c r="B65" s="7"/>
      <c r="C65" s="19">
        <f t="shared" si="11"/>
        <v>45597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89"/>
      <c r="P65" s="8"/>
      <c r="Q65" s="90"/>
      <c r="R65" s="32"/>
    </row>
    <row r="66" spans="2:18" x14ac:dyDescent="0.45">
      <c r="B66" s="7"/>
      <c r="C66" s="19">
        <f t="shared" si="11"/>
        <v>45627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89"/>
      <c r="P66" s="8"/>
      <c r="Q66" s="90"/>
      <c r="R66" s="32"/>
    </row>
    <row r="67" spans="2:18" x14ac:dyDescent="0.45">
      <c r="B67" s="7"/>
      <c r="C67" s="19">
        <f t="shared" si="11"/>
        <v>45658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89"/>
      <c r="P67" s="8"/>
      <c r="Q67" s="90"/>
      <c r="R67" s="32"/>
    </row>
    <row r="68" spans="2:18" x14ac:dyDescent="0.45">
      <c r="B68" s="7"/>
      <c r="C68" s="19">
        <f t="shared" si="11"/>
        <v>45689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45717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45748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45778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45809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45839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45870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45901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45931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45962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45992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46023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46054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46082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46113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46143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46174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46204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46235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46266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46296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46327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46357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46388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46419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46447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46478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2">DATE(YEAR(C94),MONTH(C94)+1,DAY(C94))</f>
        <v>46508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2"/>
        <v>46539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2"/>
        <v>46569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2"/>
        <v>46600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2"/>
        <v>46631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2"/>
        <v>46661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2"/>
        <v>46692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2"/>
        <v>46722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2"/>
        <v>46753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2"/>
        <v>46784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2"/>
        <v>46813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2"/>
        <v>46844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2"/>
        <v>46874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-1.7753336578607559E-9</v>
      </c>
      <c r="F110" s="43">
        <f>SUM(F29:F107)</f>
        <v>-236762.40000000005</v>
      </c>
      <c r="G110" s="43">
        <f>SUM(G29:G107)</f>
        <v>3692.4195210199669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233069.98047897831</v>
      </c>
      <c r="G116" s="119">
        <f>INDEX(M:M,MATCH(DATE(2021,12,DAY(D10)),C:C))</f>
        <v>194224.98373248189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-38290.331241741886</v>
      </c>
      <c r="G119" s="113">
        <f ca="1">IFERROR(SUM(INDIRECT("F"&amp;MATCH(DATE(2022,1,DAY(D10)),C:C)):INDIRECT("G"&amp;MATCH(DATE(2022,1,DAY(D10)),C:C)+11)),VALUE("0"))</f>
        <v>-194779.64923723816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-194779.64923723816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-197302.00000000003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sheetProtection algorithmName="SHA-512" hashValue="uhvuIcf3p+BiDDlejwn/f1D+LcFEJWyAqu8WU0k0J/WzZHsR3Fu/FLIficHuv+H3aUuGjiMUlJa/NvJ2ENxoig==" saltValue="hJr0fyBGWIfZViask0nVRQ==" spinCount="100000" sheet="1" objects="1" scenarios="1" selectLockedCells="1" selectUnlockedCells="1"/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C12AD-D32D-4AD7-A00C-6DCEF2520456}">
  <dimension ref="B1:R130"/>
  <sheetViews>
    <sheetView topLeftCell="A25"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70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9674.4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44212</v>
      </c>
      <c r="E10" s="12">
        <f>VLOOKUP($C$2,'Lease Summary'!D:H,4,FALSE)</f>
        <v>44576</v>
      </c>
      <c r="F10">
        <f>DATEDIF(D10,E10,"m")+1</f>
        <v>12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12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1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9674.4</v>
      </c>
      <c r="G22" s="7" t="s">
        <v>229</v>
      </c>
      <c r="H22" s="53">
        <f>-PV(F16,F12,F22,0,1)</f>
        <v>114282.27889964763</v>
      </c>
      <c r="J22" s="17" t="s">
        <v>234</v>
      </c>
      <c r="K22" s="22"/>
      <c r="L22" s="7"/>
      <c r="M22" s="65">
        <f>H22</f>
        <v>114282.27889964763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44212</v>
      </c>
      <c r="D29" s="27">
        <v>1</v>
      </c>
      <c r="E29" s="33">
        <f>H22</f>
        <v>114282.27889964763</v>
      </c>
      <c r="F29" s="42">
        <f>-D7</f>
        <v>-9674.4</v>
      </c>
      <c r="G29" s="46">
        <f t="shared" ref="G29:G40" si="0">((E29+F29)*($F$16))</f>
        <v>300.31862553832292</v>
      </c>
      <c r="H29" s="59">
        <f>SUM(E29:G29)</f>
        <v>104908.19752518595</v>
      </c>
      <c r="J29" s="69">
        <f t="shared" ref="J29:J40" si="1">D29</f>
        <v>1</v>
      </c>
      <c r="K29" s="70">
        <f>M22</f>
        <v>114282.27889964763</v>
      </c>
      <c r="L29" s="42">
        <f t="shared" ref="L29:L40" si="2">-$M$22/$F$12</f>
        <v>-9523.5232416373019</v>
      </c>
      <c r="M29" s="71">
        <f t="shared" ref="M29:M40" si="3">K29+L29</f>
        <v>104758.75565801033</v>
      </c>
      <c r="N29" s="32"/>
      <c r="O29" s="72">
        <f>+F29</f>
        <v>-9674.4</v>
      </c>
      <c r="P29" s="73">
        <f>+G29</f>
        <v>300.31862553832292</v>
      </c>
      <c r="Q29" s="71">
        <f>-L29</f>
        <v>9523.5232416373019</v>
      </c>
      <c r="R29" s="85"/>
    </row>
    <row r="30" spans="2:18" x14ac:dyDescent="0.45">
      <c r="B30" s="7"/>
      <c r="C30" s="19">
        <f>DATE(YEAR(C29),MONTH(C29)+1,DAY(C29))</f>
        <v>44243</v>
      </c>
      <c r="D30" s="26">
        <f t="shared" ref="D30:D40" si="4">D29+1</f>
        <v>2</v>
      </c>
      <c r="E30" s="34">
        <f t="shared" ref="E30:E40" si="5">H29</f>
        <v>104908.19752518595</v>
      </c>
      <c r="F30" s="43">
        <f t="shared" ref="F30:F40" si="6">F29</f>
        <v>-9674.4</v>
      </c>
      <c r="G30" s="47">
        <f t="shared" si="0"/>
        <v>273.40658732786068</v>
      </c>
      <c r="H30" s="60">
        <f t="shared" ref="H30:H40" si="7">SUM(E30:G30)</f>
        <v>95507.20411251382</v>
      </c>
      <c r="J30" s="74">
        <f t="shared" si="1"/>
        <v>2</v>
      </c>
      <c r="K30" s="48">
        <f t="shared" ref="K30:K40" si="8">M29</f>
        <v>104758.75565801033</v>
      </c>
      <c r="L30" s="43">
        <f t="shared" si="2"/>
        <v>-9523.5232416373019</v>
      </c>
      <c r="M30" s="75">
        <f t="shared" si="3"/>
        <v>95235.232416373023</v>
      </c>
      <c r="N30" s="32"/>
      <c r="O30" s="76">
        <f t="shared" ref="O30:P40" si="9">+O29+F30</f>
        <v>-19348.8</v>
      </c>
      <c r="P30" s="77">
        <f t="shared" si="9"/>
        <v>573.7252128661836</v>
      </c>
      <c r="Q30" s="75">
        <f t="shared" ref="Q30:Q40" si="10">+Q29-L30</f>
        <v>19047.046483274604</v>
      </c>
      <c r="R30" s="86"/>
    </row>
    <row r="31" spans="2:18" x14ac:dyDescent="0.45">
      <c r="B31" s="7"/>
      <c r="C31" s="19">
        <f t="shared" ref="C31:C94" si="11">DATE(YEAR(C30),MONTH(C30)+1,DAY(C30))</f>
        <v>44271</v>
      </c>
      <c r="D31" s="26">
        <f t="shared" si="4"/>
        <v>3</v>
      </c>
      <c r="E31" s="34">
        <f t="shared" si="5"/>
        <v>95507.20411251382</v>
      </c>
      <c r="F31" s="43">
        <f t="shared" si="6"/>
        <v>-9674.4</v>
      </c>
      <c r="G31" s="47">
        <f t="shared" si="0"/>
        <v>246.41728738137229</v>
      </c>
      <c r="H31" s="60">
        <f t="shared" si="7"/>
        <v>86079.221399895192</v>
      </c>
      <c r="J31" s="74">
        <f t="shared" si="1"/>
        <v>3</v>
      </c>
      <c r="K31" s="48">
        <f t="shared" si="8"/>
        <v>95235.232416373023</v>
      </c>
      <c r="L31" s="43">
        <f t="shared" si="2"/>
        <v>-9523.5232416373019</v>
      </c>
      <c r="M31" s="75">
        <f t="shared" si="3"/>
        <v>85711.709174735719</v>
      </c>
      <c r="N31" s="32"/>
      <c r="O31" s="76">
        <f t="shared" si="9"/>
        <v>-29023.199999999997</v>
      </c>
      <c r="P31" s="39">
        <f t="shared" si="9"/>
        <v>820.14250024755586</v>
      </c>
      <c r="Q31" s="88">
        <f t="shared" si="10"/>
        <v>28570.569724911904</v>
      </c>
      <c r="R31" s="86"/>
    </row>
    <row r="32" spans="2:18" x14ac:dyDescent="0.45">
      <c r="B32" s="7"/>
      <c r="C32" s="19">
        <f t="shared" si="11"/>
        <v>44302</v>
      </c>
      <c r="D32" s="26">
        <f t="shared" si="4"/>
        <v>4</v>
      </c>
      <c r="E32" s="34">
        <f t="shared" si="5"/>
        <v>86079.221399895192</v>
      </c>
      <c r="F32" s="43">
        <f t="shared" si="6"/>
        <v>-9674.4</v>
      </c>
      <c r="G32" s="47">
        <f t="shared" si="0"/>
        <v>219.35050388823873</v>
      </c>
      <c r="H32" s="60">
        <f t="shared" si="7"/>
        <v>76624.171903783441</v>
      </c>
      <c r="J32" s="74">
        <f t="shared" si="1"/>
        <v>4</v>
      </c>
      <c r="K32" s="48">
        <f t="shared" si="8"/>
        <v>85711.709174735719</v>
      </c>
      <c r="L32" s="43">
        <f t="shared" si="2"/>
        <v>-9523.5232416373019</v>
      </c>
      <c r="M32" s="75">
        <f t="shared" si="3"/>
        <v>76188.185933098415</v>
      </c>
      <c r="N32" s="32"/>
      <c r="O32" s="76">
        <f t="shared" si="9"/>
        <v>-38697.599999999999</v>
      </c>
      <c r="P32" s="39">
        <f t="shared" si="9"/>
        <v>1039.4930041357945</v>
      </c>
      <c r="Q32" s="88">
        <f t="shared" si="10"/>
        <v>38094.092966549208</v>
      </c>
      <c r="R32" s="86"/>
    </row>
    <row r="33" spans="2:18" x14ac:dyDescent="0.45">
      <c r="B33" s="7"/>
      <c r="C33" s="19">
        <f t="shared" si="11"/>
        <v>44332</v>
      </c>
      <c r="D33" s="26">
        <f t="shared" si="4"/>
        <v>5</v>
      </c>
      <c r="E33" s="34">
        <f t="shared" si="5"/>
        <v>76624.171903783441</v>
      </c>
      <c r="F33" s="43">
        <f t="shared" si="6"/>
        <v>-9674.4</v>
      </c>
      <c r="G33" s="47">
        <f t="shared" si="0"/>
        <v>192.20601440104525</v>
      </c>
      <c r="H33" s="60">
        <f t="shared" si="7"/>
        <v>67141.977918184493</v>
      </c>
      <c r="J33" s="74">
        <f t="shared" si="1"/>
        <v>5</v>
      </c>
      <c r="K33" s="48">
        <f t="shared" si="8"/>
        <v>76188.185933098415</v>
      </c>
      <c r="L33" s="43">
        <f t="shared" si="2"/>
        <v>-9523.5232416373019</v>
      </c>
      <c r="M33" s="75">
        <f t="shared" si="3"/>
        <v>66664.662691461112</v>
      </c>
      <c r="N33" s="32"/>
      <c r="O33" s="76">
        <f t="shared" si="9"/>
        <v>-48372</v>
      </c>
      <c r="P33" s="39">
        <f t="shared" si="9"/>
        <v>1231.6990185368397</v>
      </c>
      <c r="Q33" s="88">
        <f t="shared" si="10"/>
        <v>47617.616208186511</v>
      </c>
      <c r="R33" s="86"/>
    </row>
    <row r="34" spans="2:18" x14ac:dyDescent="0.45">
      <c r="B34" s="7"/>
      <c r="C34" s="19">
        <f t="shared" si="11"/>
        <v>44363</v>
      </c>
      <c r="D34" s="26">
        <f t="shared" si="4"/>
        <v>6</v>
      </c>
      <c r="E34" s="34">
        <f t="shared" si="5"/>
        <v>67141.977918184493</v>
      </c>
      <c r="F34" s="43">
        <f t="shared" si="6"/>
        <v>-9674.4</v>
      </c>
      <c r="G34" s="47">
        <f t="shared" si="0"/>
        <v>164.98359583375299</v>
      </c>
      <c r="H34" s="60">
        <f t="shared" si="7"/>
        <v>57632.561514018242</v>
      </c>
      <c r="J34" s="74">
        <f t="shared" si="1"/>
        <v>6</v>
      </c>
      <c r="K34" s="48">
        <f t="shared" si="8"/>
        <v>66664.662691461112</v>
      </c>
      <c r="L34" s="43">
        <f t="shared" si="2"/>
        <v>-9523.5232416373019</v>
      </c>
      <c r="M34" s="75">
        <f t="shared" si="3"/>
        <v>57141.139449823808</v>
      </c>
      <c r="N34" s="32"/>
      <c r="O34" s="76">
        <f t="shared" si="9"/>
        <v>-58046.400000000001</v>
      </c>
      <c r="P34" s="39">
        <f t="shared" si="9"/>
        <v>1396.6826143705928</v>
      </c>
      <c r="Q34" s="88">
        <f t="shared" si="10"/>
        <v>57141.139449823815</v>
      </c>
      <c r="R34" s="86"/>
    </row>
    <row r="35" spans="2:18" x14ac:dyDescent="0.45">
      <c r="B35" s="7"/>
      <c r="C35" s="19">
        <f t="shared" si="11"/>
        <v>44393</v>
      </c>
      <c r="D35" s="26">
        <f t="shared" si="4"/>
        <v>7</v>
      </c>
      <c r="E35" s="34">
        <f t="shared" si="5"/>
        <v>57632.561514018242</v>
      </c>
      <c r="F35" s="43">
        <f t="shared" si="6"/>
        <v>-9674.4</v>
      </c>
      <c r="G35" s="47">
        <f t="shared" si="0"/>
        <v>137.68302445986569</v>
      </c>
      <c r="H35" s="60">
        <f t="shared" si="7"/>
        <v>48095.844538478108</v>
      </c>
      <c r="J35" s="74">
        <f t="shared" si="1"/>
        <v>7</v>
      </c>
      <c r="K35" s="48">
        <f t="shared" si="8"/>
        <v>57141.139449823808</v>
      </c>
      <c r="L35" s="43">
        <f t="shared" si="2"/>
        <v>-9523.5232416373019</v>
      </c>
      <c r="M35" s="75">
        <f t="shared" si="3"/>
        <v>47617.616208186504</v>
      </c>
      <c r="N35" s="32"/>
      <c r="O35" s="76">
        <f t="shared" si="9"/>
        <v>-67720.800000000003</v>
      </c>
      <c r="P35" s="39">
        <f t="shared" si="9"/>
        <v>1534.3656388304585</v>
      </c>
      <c r="Q35" s="88">
        <f t="shared" si="10"/>
        <v>66664.662691461112</v>
      </c>
      <c r="R35" s="86"/>
    </row>
    <row r="36" spans="2:18" x14ac:dyDescent="0.45">
      <c r="B36" s="7"/>
      <c r="C36" s="19">
        <f t="shared" si="11"/>
        <v>44424</v>
      </c>
      <c r="D36" s="26">
        <f t="shared" si="4"/>
        <v>8</v>
      </c>
      <c r="E36" s="34">
        <f t="shared" si="5"/>
        <v>48095.844538478108</v>
      </c>
      <c r="F36" s="43">
        <f t="shared" si="6"/>
        <v>-9674.4</v>
      </c>
      <c r="G36" s="47">
        <f t="shared" si="0"/>
        <v>110.30407591059105</v>
      </c>
      <c r="H36" s="60">
        <f t="shared" si="7"/>
        <v>38531.7486143887</v>
      </c>
      <c r="J36" s="74">
        <f t="shared" si="1"/>
        <v>8</v>
      </c>
      <c r="K36" s="48">
        <f t="shared" si="8"/>
        <v>47617.616208186504</v>
      </c>
      <c r="L36" s="43">
        <f t="shared" si="2"/>
        <v>-9523.5232416373019</v>
      </c>
      <c r="M36" s="75">
        <f t="shared" si="3"/>
        <v>38094.0929665492</v>
      </c>
      <c r="N36" s="32"/>
      <c r="O36" s="76">
        <f t="shared" si="9"/>
        <v>-77395.199999999997</v>
      </c>
      <c r="P36" s="39">
        <f t="shared" si="9"/>
        <v>1644.6697147410496</v>
      </c>
      <c r="Q36" s="88">
        <f t="shared" si="10"/>
        <v>76188.185933098415</v>
      </c>
      <c r="R36" s="86"/>
    </row>
    <row r="37" spans="2:18" x14ac:dyDescent="0.45">
      <c r="B37" s="7"/>
      <c r="C37" s="19">
        <f t="shared" si="11"/>
        <v>44455</v>
      </c>
      <c r="D37" s="26">
        <f t="shared" si="4"/>
        <v>9</v>
      </c>
      <c r="E37" s="34">
        <f t="shared" si="5"/>
        <v>38531.7486143887</v>
      </c>
      <c r="F37" s="43">
        <f t="shared" si="6"/>
        <v>-9674.4</v>
      </c>
      <c r="G37" s="47">
        <f t="shared" si="0"/>
        <v>82.846525172996635</v>
      </c>
      <c r="H37" s="60">
        <f t="shared" si="7"/>
        <v>28940.195139561696</v>
      </c>
      <c r="J37" s="74">
        <f t="shared" si="1"/>
        <v>9</v>
      </c>
      <c r="K37" s="48">
        <f t="shared" si="8"/>
        <v>38094.0929665492</v>
      </c>
      <c r="L37" s="43">
        <f t="shared" si="2"/>
        <v>-9523.5232416373019</v>
      </c>
      <c r="M37" s="75">
        <f t="shared" si="3"/>
        <v>28570.569724911897</v>
      </c>
      <c r="N37" s="32"/>
      <c r="O37" s="76">
        <f t="shared" si="9"/>
        <v>-87069.599999999991</v>
      </c>
      <c r="P37" s="39">
        <f t="shared" si="9"/>
        <v>1727.5162399140463</v>
      </c>
      <c r="Q37" s="88">
        <f t="shared" si="10"/>
        <v>85711.709174735719</v>
      </c>
      <c r="R37" s="86"/>
    </row>
    <row r="38" spans="2:18" x14ac:dyDescent="0.45">
      <c r="B38" s="7"/>
      <c r="C38" s="19">
        <f t="shared" si="11"/>
        <v>44485</v>
      </c>
      <c r="D38" s="26">
        <f t="shared" si="4"/>
        <v>10</v>
      </c>
      <c r="E38" s="34">
        <f t="shared" si="5"/>
        <v>28940.195139561696</v>
      </c>
      <c r="F38" s="43">
        <f t="shared" si="6"/>
        <v>-9674.4</v>
      </c>
      <c r="G38" s="47">
        <f t="shared" si="0"/>
        <v>55.310146588160677</v>
      </c>
      <c r="H38" s="60">
        <f t="shared" si="7"/>
        <v>19321.105286149857</v>
      </c>
      <c r="J38" s="74">
        <f t="shared" si="1"/>
        <v>10</v>
      </c>
      <c r="K38" s="48">
        <f t="shared" si="8"/>
        <v>28570.569724911897</v>
      </c>
      <c r="L38" s="43">
        <f t="shared" si="2"/>
        <v>-9523.5232416373019</v>
      </c>
      <c r="M38" s="75">
        <f t="shared" si="3"/>
        <v>19047.046483274593</v>
      </c>
      <c r="N38" s="32"/>
      <c r="O38" s="76">
        <f t="shared" si="9"/>
        <v>-96743.999999999985</v>
      </c>
      <c r="P38" s="39">
        <f t="shared" si="9"/>
        <v>1782.826386502207</v>
      </c>
      <c r="Q38" s="88">
        <f t="shared" si="10"/>
        <v>95235.232416373023</v>
      </c>
      <c r="R38" s="87"/>
    </row>
    <row r="39" spans="2:18" x14ac:dyDescent="0.45">
      <c r="B39" s="7"/>
      <c r="C39" s="19">
        <f t="shared" si="11"/>
        <v>44516</v>
      </c>
      <c r="D39" s="26">
        <f t="shared" si="4"/>
        <v>11</v>
      </c>
      <c r="E39" s="34">
        <f t="shared" si="5"/>
        <v>19321.105286149857</v>
      </c>
      <c r="F39" s="43">
        <f t="shared" si="6"/>
        <v>-9674.4</v>
      </c>
      <c r="G39" s="47">
        <f t="shared" si="0"/>
        <v>27.694713849317498</v>
      </c>
      <c r="H39" s="60">
        <f t="shared" si="7"/>
        <v>9674.3999999991756</v>
      </c>
      <c r="J39" s="74">
        <f t="shared" si="1"/>
        <v>11</v>
      </c>
      <c r="K39" s="48">
        <f t="shared" si="8"/>
        <v>19047.046483274593</v>
      </c>
      <c r="L39" s="43">
        <f t="shared" si="2"/>
        <v>-9523.5232416373019</v>
      </c>
      <c r="M39" s="75">
        <f t="shared" si="3"/>
        <v>9523.523241637291</v>
      </c>
      <c r="N39" s="32"/>
      <c r="O39" s="76">
        <f t="shared" si="9"/>
        <v>-106418.39999999998</v>
      </c>
      <c r="P39" s="39">
        <f t="shared" si="9"/>
        <v>1810.5211003515244</v>
      </c>
      <c r="Q39" s="88">
        <f t="shared" si="10"/>
        <v>104758.75565801033</v>
      </c>
      <c r="R39" s="87"/>
    </row>
    <row r="40" spans="2:18" x14ac:dyDescent="0.45">
      <c r="B40" s="7"/>
      <c r="C40" s="19">
        <f t="shared" si="11"/>
        <v>44546</v>
      </c>
      <c r="D40" s="26">
        <f t="shared" si="4"/>
        <v>12</v>
      </c>
      <c r="E40" s="34">
        <f t="shared" si="5"/>
        <v>9674.3999999991756</v>
      </c>
      <c r="F40" s="43">
        <f t="shared" si="6"/>
        <v>-9674.4</v>
      </c>
      <c r="G40" s="47">
        <f t="shared" si="0"/>
        <v>-2.3656268599401645E-12</v>
      </c>
      <c r="H40" s="60">
        <f t="shared" si="7"/>
        <v>-8.2636782666621311E-10</v>
      </c>
      <c r="J40" s="74">
        <f t="shared" si="1"/>
        <v>12</v>
      </c>
      <c r="K40" s="48">
        <f t="shared" si="8"/>
        <v>9523.523241637291</v>
      </c>
      <c r="L40" s="43">
        <f t="shared" si="2"/>
        <v>-9523.5232416373019</v>
      </c>
      <c r="M40" s="75">
        <f t="shared" si="3"/>
        <v>0</v>
      </c>
      <c r="N40" s="32"/>
      <c r="O40" s="76">
        <f t="shared" si="9"/>
        <v>-116092.79999999997</v>
      </c>
      <c r="P40" s="39">
        <f t="shared" si="9"/>
        <v>1810.5211003515221</v>
      </c>
      <c r="Q40" s="88">
        <f t="shared" si="10"/>
        <v>114282.27889964763</v>
      </c>
      <c r="R40" s="87"/>
    </row>
    <row r="41" spans="2:18" x14ac:dyDescent="0.45">
      <c r="B41" s="7"/>
      <c r="C41" s="19">
        <f t="shared" si="11"/>
        <v>44577</v>
      </c>
      <c r="D41" s="26"/>
      <c r="E41" s="34"/>
      <c r="F41" s="43"/>
      <c r="G41" s="47"/>
      <c r="H41" s="60"/>
      <c r="J41" s="74"/>
      <c r="K41" s="48"/>
      <c r="L41" s="43"/>
      <c r="M41" s="75"/>
      <c r="N41" s="32"/>
      <c r="O41" s="76"/>
      <c r="P41" s="39"/>
      <c r="Q41" s="88"/>
      <c r="R41" s="87"/>
    </row>
    <row r="42" spans="2:18" x14ac:dyDescent="0.45">
      <c r="B42" s="7"/>
      <c r="C42" s="19">
        <f t="shared" si="11"/>
        <v>44608</v>
      </c>
      <c r="D42" s="26"/>
      <c r="E42" s="34"/>
      <c r="F42" s="43"/>
      <c r="G42" s="47"/>
      <c r="H42" s="60"/>
      <c r="J42" s="74"/>
      <c r="K42" s="48"/>
      <c r="L42" s="43"/>
      <c r="M42" s="75"/>
      <c r="N42" s="32"/>
      <c r="O42" s="76"/>
      <c r="P42" s="39"/>
      <c r="Q42" s="88"/>
      <c r="R42" s="87"/>
    </row>
    <row r="43" spans="2:18" x14ac:dyDescent="0.45">
      <c r="B43" s="7"/>
      <c r="C43" s="19">
        <f t="shared" si="11"/>
        <v>44636</v>
      </c>
      <c r="D43" s="26"/>
      <c r="E43" s="34"/>
      <c r="F43" s="43"/>
      <c r="G43" s="47"/>
      <c r="H43" s="60"/>
      <c r="J43" s="74"/>
      <c r="K43" s="48"/>
      <c r="L43" s="43"/>
      <c r="M43" s="75"/>
      <c r="N43" s="32"/>
      <c r="O43" s="76"/>
      <c r="P43" s="39"/>
      <c r="Q43" s="88"/>
      <c r="R43" s="87"/>
    </row>
    <row r="44" spans="2:18" x14ac:dyDescent="0.45">
      <c r="B44" s="7"/>
      <c r="C44" s="19">
        <f t="shared" si="11"/>
        <v>44667</v>
      </c>
      <c r="D44" s="26"/>
      <c r="E44" s="34"/>
      <c r="F44" s="43"/>
      <c r="G44" s="47"/>
      <c r="H44" s="60"/>
      <c r="J44" s="74"/>
      <c r="K44" s="48"/>
      <c r="L44" s="43"/>
      <c r="M44" s="75"/>
      <c r="N44" s="32"/>
      <c r="O44" s="76"/>
      <c r="P44" s="39"/>
      <c r="Q44" s="88"/>
      <c r="R44" s="87"/>
    </row>
    <row r="45" spans="2:18" x14ac:dyDescent="0.45">
      <c r="B45" s="7"/>
      <c r="C45" s="19">
        <f t="shared" si="11"/>
        <v>44697</v>
      </c>
      <c r="D45" s="26"/>
      <c r="E45" s="34"/>
      <c r="F45" s="43"/>
      <c r="G45" s="47"/>
      <c r="H45" s="60"/>
      <c r="J45" s="74"/>
      <c r="K45" s="48"/>
      <c r="L45" s="43"/>
      <c r="M45" s="75"/>
      <c r="N45" s="32"/>
      <c r="O45" s="76"/>
      <c r="P45" s="39"/>
      <c r="Q45" s="88"/>
      <c r="R45" s="87"/>
    </row>
    <row r="46" spans="2:18" x14ac:dyDescent="0.45">
      <c r="B46" s="7"/>
      <c r="C46" s="19">
        <f t="shared" si="11"/>
        <v>44728</v>
      </c>
      <c r="D46" s="26"/>
      <c r="E46" s="34"/>
      <c r="F46" s="43"/>
      <c r="G46" s="47"/>
      <c r="H46" s="60"/>
      <c r="J46" s="74"/>
      <c r="K46" s="48"/>
      <c r="L46" s="43"/>
      <c r="M46" s="75"/>
      <c r="N46" s="32"/>
      <c r="O46" s="76"/>
      <c r="P46" s="39"/>
      <c r="Q46" s="88"/>
      <c r="R46" s="87"/>
    </row>
    <row r="47" spans="2:18" x14ac:dyDescent="0.45">
      <c r="B47" s="7"/>
      <c r="C47" s="19">
        <f t="shared" si="11"/>
        <v>44758</v>
      </c>
      <c r="D47" s="26"/>
      <c r="E47" s="34"/>
      <c r="F47" s="43"/>
      <c r="G47" s="47"/>
      <c r="H47" s="60"/>
      <c r="J47" s="74"/>
      <c r="K47" s="48"/>
      <c r="L47" s="43"/>
      <c r="M47" s="75"/>
      <c r="N47" s="32"/>
      <c r="O47" s="76"/>
      <c r="P47" s="39"/>
      <c r="Q47" s="88"/>
      <c r="R47" s="87"/>
    </row>
    <row r="48" spans="2:18" x14ac:dyDescent="0.45">
      <c r="B48" s="7"/>
      <c r="C48" s="19">
        <f t="shared" si="11"/>
        <v>44789</v>
      </c>
      <c r="D48" s="26"/>
      <c r="E48" s="34"/>
      <c r="F48" s="43"/>
      <c r="G48" s="47"/>
      <c r="H48" s="60"/>
      <c r="J48" s="74"/>
      <c r="K48" s="48"/>
      <c r="L48" s="43"/>
      <c r="M48" s="75"/>
      <c r="N48" s="32"/>
      <c r="O48" s="76"/>
      <c r="P48" s="39"/>
      <c r="Q48" s="88"/>
      <c r="R48" s="87"/>
    </row>
    <row r="49" spans="2:18" x14ac:dyDescent="0.45">
      <c r="B49" s="7"/>
      <c r="C49" s="19">
        <f t="shared" si="11"/>
        <v>44820</v>
      </c>
      <c r="D49" s="26"/>
      <c r="E49" s="34"/>
      <c r="F49" s="43"/>
      <c r="G49" s="47"/>
      <c r="H49" s="60"/>
      <c r="J49" s="74"/>
      <c r="K49" s="48"/>
      <c r="L49" s="43"/>
      <c r="M49" s="75"/>
      <c r="N49" s="80"/>
      <c r="O49" s="76"/>
      <c r="P49" s="39"/>
      <c r="Q49" s="88"/>
      <c r="R49" s="87"/>
    </row>
    <row r="50" spans="2:18" x14ac:dyDescent="0.45">
      <c r="B50" s="7"/>
      <c r="C50" s="19">
        <f t="shared" si="11"/>
        <v>44850</v>
      </c>
      <c r="D50" s="26"/>
      <c r="E50" s="34"/>
      <c r="F50" s="43"/>
      <c r="G50" s="47"/>
      <c r="H50" s="60"/>
      <c r="J50" s="74"/>
      <c r="K50" s="48"/>
      <c r="L50" s="43"/>
      <c r="M50" s="75"/>
      <c r="N50" s="32"/>
      <c r="O50" s="76"/>
      <c r="P50" s="39"/>
      <c r="Q50" s="88"/>
      <c r="R50" s="32"/>
    </row>
    <row r="51" spans="2:18" x14ac:dyDescent="0.45">
      <c r="B51" s="7"/>
      <c r="C51" s="19">
        <f t="shared" si="11"/>
        <v>44881</v>
      </c>
      <c r="D51" s="26"/>
      <c r="E51" s="34"/>
      <c r="F51" s="43"/>
      <c r="G51" s="47"/>
      <c r="H51" s="60"/>
      <c r="J51" s="74"/>
      <c r="K51" s="48"/>
      <c r="L51" s="43"/>
      <c r="M51" s="75"/>
      <c r="N51" s="32"/>
      <c r="O51" s="76"/>
      <c r="P51" s="39"/>
      <c r="Q51" s="88"/>
      <c r="R51" s="32"/>
    </row>
    <row r="52" spans="2:18" x14ac:dyDescent="0.45">
      <c r="B52" s="7"/>
      <c r="C52" s="19">
        <f t="shared" si="11"/>
        <v>44911</v>
      </c>
      <c r="D52" s="26"/>
      <c r="E52" s="34"/>
      <c r="F52" s="43"/>
      <c r="G52" s="47"/>
      <c r="H52" s="60"/>
      <c r="J52" s="74"/>
      <c r="K52" s="48"/>
      <c r="L52" s="43"/>
      <c r="M52" s="75"/>
      <c r="N52" s="32"/>
      <c r="O52" s="76"/>
      <c r="P52" s="39"/>
      <c r="Q52" s="88"/>
      <c r="R52" s="32"/>
    </row>
    <row r="53" spans="2:18" x14ac:dyDescent="0.45">
      <c r="B53" s="7"/>
      <c r="C53" s="19">
        <f t="shared" si="11"/>
        <v>44942</v>
      </c>
      <c r="D53" s="26"/>
      <c r="E53" s="34"/>
      <c r="F53" s="43"/>
      <c r="G53" s="47"/>
      <c r="H53" s="60"/>
      <c r="J53" s="74"/>
      <c r="K53" s="48"/>
      <c r="L53" s="43"/>
      <c r="M53" s="75"/>
      <c r="N53" s="32"/>
      <c r="O53" s="76"/>
      <c r="P53" s="39"/>
      <c r="Q53" s="88"/>
      <c r="R53" s="32"/>
    </row>
    <row r="54" spans="2:18" x14ac:dyDescent="0.45">
      <c r="B54" s="7"/>
      <c r="C54" s="19">
        <f t="shared" si="11"/>
        <v>44973</v>
      </c>
      <c r="D54" s="26"/>
      <c r="E54" s="34"/>
      <c r="F54" s="43"/>
      <c r="G54" s="47"/>
      <c r="H54" s="60"/>
      <c r="J54" s="74"/>
      <c r="K54" s="48"/>
      <c r="L54" s="43"/>
      <c r="M54" s="75"/>
      <c r="N54" s="32"/>
      <c r="O54" s="76"/>
      <c r="P54" s="39"/>
      <c r="Q54" s="88"/>
      <c r="R54" s="32"/>
    </row>
    <row r="55" spans="2:18" x14ac:dyDescent="0.45">
      <c r="B55" s="7"/>
      <c r="C55" s="19">
        <f t="shared" si="11"/>
        <v>45001</v>
      </c>
      <c r="D55" s="26"/>
      <c r="E55" s="34"/>
      <c r="F55" s="43"/>
      <c r="G55" s="47"/>
      <c r="H55" s="60"/>
      <c r="J55" s="74"/>
      <c r="K55" s="48"/>
      <c r="L55" s="43"/>
      <c r="M55" s="75"/>
      <c r="N55" s="32"/>
      <c r="O55" s="76"/>
      <c r="P55" s="39"/>
      <c r="Q55" s="88"/>
      <c r="R55" s="32"/>
    </row>
    <row r="56" spans="2:18" x14ac:dyDescent="0.45">
      <c r="B56" s="7"/>
      <c r="C56" s="19">
        <f t="shared" si="11"/>
        <v>45032</v>
      </c>
      <c r="D56" s="26"/>
      <c r="E56" s="34"/>
      <c r="F56" s="43"/>
      <c r="G56" s="47"/>
      <c r="H56" s="60"/>
      <c r="J56" s="74"/>
      <c r="K56" s="48"/>
      <c r="L56" s="43"/>
      <c r="M56" s="75"/>
      <c r="N56" s="32"/>
      <c r="O56" s="76"/>
      <c r="P56" s="39"/>
      <c r="Q56" s="88"/>
      <c r="R56" s="32"/>
    </row>
    <row r="57" spans="2:18" x14ac:dyDescent="0.45">
      <c r="B57" s="7"/>
      <c r="C57" s="19">
        <f t="shared" si="11"/>
        <v>45062</v>
      </c>
      <c r="D57" s="26"/>
      <c r="E57" s="34"/>
      <c r="F57" s="43"/>
      <c r="G57" s="47"/>
      <c r="H57" s="60"/>
      <c r="J57" s="74"/>
      <c r="K57" s="48"/>
      <c r="L57" s="43"/>
      <c r="M57" s="75"/>
      <c r="N57" s="32"/>
      <c r="O57" s="76"/>
      <c r="P57" s="39"/>
      <c r="Q57" s="88"/>
      <c r="R57" s="32"/>
    </row>
    <row r="58" spans="2:18" x14ac:dyDescent="0.45">
      <c r="B58" s="7"/>
      <c r="C58" s="19">
        <f t="shared" si="11"/>
        <v>45093</v>
      </c>
      <c r="D58" s="26"/>
      <c r="E58" s="34"/>
      <c r="F58" s="43"/>
      <c r="G58" s="47"/>
      <c r="H58" s="60"/>
      <c r="J58" s="74"/>
      <c r="K58" s="48"/>
      <c r="L58" s="43"/>
      <c r="M58" s="75"/>
      <c r="N58" s="32"/>
      <c r="O58" s="76"/>
      <c r="P58" s="39"/>
      <c r="Q58" s="88"/>
      <c r="R58" s="32"/>
    </row>
    <row r="59" spans="2:18" x14ac:dyDescent="0.45">
      <c r="B59" s="7"/>
      <c r="C59" s="19">
        <f t="shared" si="11"/>
        <v>45123</v>
      </c>
      <c r="D59" s="26"/>
      <c r="E59" s="34"/>
      <c r="F59" s="43"/>
      <c r="G59" s="47"/>
      <c r="H59" s="60"/>
      <c r="J59" s="74"/>
      <c r="K59" s="48"/>
      <c r="L59" s="43"/>
      <c r="M59" s="75"/>
      <c r="N59" s="32"/>
      <c r="O59" s="76"/>
      <c r="P59" s="39"/>
      <c r="Q59" s="88"/>
      <c r="R59" s="32"/>
    </row>
    <row r="60" spans="2:18" x14ac:dyDescent="0.45">
      <c r="B60" s="7"/>
      <c r="C60" s="19">
        <f t="shared" si="11"/>
        <v>45154</v>
      </c>
      <c r="D60" s="26"/>
      <c r="E60" s="34"/>
      <c r="F60" s="43"/>
      <c r="G60" s="47"/>
      <c r="H60" s="60"/>
      <c r="J60" s="74"/>
      <c r="K60" s="48"/>
      <c r="L60" s="43"/>
      <c r="M60" s="75"/>
      <c r="N60" s="32"/>
      <c r="O60" s="76"/>
      <c r="P60" s="39"/>
      <c r="Q60" s="88"/>
      <c r="R60" s="32"/>
    </row>
    <row r="61" spans="2:18" x14ac:dyDescent="0.45">
      <c r="B61" s="7"/>
      <c r="C61" s="19">
        <f t="shared" si="11"/>
        <v>45185</v>
      </c>
      <c r="D61" s="26"/>
      <c r="E61" s="34"/>
      <c r="F61" s="43"/>
      <c r="G61" s="47"/>
      <c r="H61" s="60"/>
      <c r="J61" s="74"/>
      <c r="K61" s="48"/>
      <c r="L61" s="43"/>
      <c r="M61" s="75"/>
      <c r="N61" s="32"/>
      <c r="O61" s="76"/>
      <c r="P61" s="39"/>
      <c r="Q61" s="88"/>
      <c r="R61" s="32"/>
    </row>
    <row r="62" spans="2:18" x14ac:dyDescent="0.45">
      <c r="B62" s="7"/>
      <c r="C62" s="19">
        <f t="shared" si="11"/>
        <v>45215</v>
      </c>
      <c r="D62" s="26"/>
      <c r="E62" s="34"/>
      <c r="F62" s="43"/>
      <c r="G62" s="47"/>
      <c r="H62" s="60"/>
      <c r="J62" s="74"/>
      <c r="K62" s="48"/>
      <c r="L62" s="43"/>
      <c r="M62" s="75"/>
      <c r="N62" s="32"/>
      <c r="O62" s="76"/>
      <c r="P62" s="39"/>
      <c r="Q62" s="88"/>
      <c r="R62" s="32"/>
    </row>
    <row r="63" spans="2:18" x14ac:dyDescent="0.45">
      <c r="B63" s="7"/>
      <c r="C63" s="19">
        <f t="shared" si="11"/>
        <v>45246</v>
      </c>
      <c r="D63" s="26"/>
      <c r="E63" s="34"/>
      <c r="F63" s="43"/>
      <c r="G63" s="47"/>
      <c r="H63" s="60"/>
      <c r="J63" s="74"/>
      <c r="K63" s="48"/>
      <c r="L63" s="43"/>
      <c r="M63" s="75"/>
      <c r="N63" s="32"/>
      <c r="O63" s="76"/>
      <c r="P63" s="39"/>
      <c r="Q63" s="88"/>
      <c r="R63" s="32"/>
    </row>
    <row r="64" spans="2:18" x14ac:dyDescent="0.45">
      <c r="B64" s="7"/>
      <c r="C64" s="19">
        <f t="shared" si="11"/>
        <v>45276</v>
      </c>
      <c r="D64" s="26"/>
      <c r="E64" s="34"/>
      <c r="F64" s="43"/>
      <c r="G64" s="47"/>
      <c r="H64" s="60"/>
      <c r="J64" s="74"/>
      <c r="K64" s="48"/>
      <c r="L64" s="43"/>
      <c r="M64" s="75"/>
      <c r="N64" s="32"/>
      <c r="O64" s="76"/>
      <c r="P64" s="39"/>
      <c r="Q64" s="88"/>
      <c r="R64" s="32"/>
    </row>
    <row r="65" spans="2:18" x14ac:dyDescent="0.45">
      <c r="B65" s="7"/>
      <c r="C65" s="19">
        <f t="shared" si="11"/>
        <v>45307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89"/>
      <c r="P65" s="8"/>
      <c r="Q65" s="90"/>
      <c r="R65" s="32"/>
    </row>
    <row r="66" spans="2:18" x14ac:dyDescent="0.45">
      <c r="B66" s="7"/>
      <c r="C66" s="19">
        <f t="shared" si="11"/>
        <v>45338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89"/>
      <c r="P66" s="8"/>
      <c r="Q66" s="90"/>
      <c r="R66" s="32"/>
    </row>
    <row r="67" spans="2:18" x14ac:dyDescent="0.45">
      <c r="B67" s="7"/>
      <c r="C67" s="19">
        <f t="shared" si="11"/>
        <v>45367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89"/>
      <c r="P67" s="8"/>
      <c r="Q67" s="90"/>
      <c r="R67" s="32"/>
    </row>
    <row r="68" spans="2:18" x14ac:dyDescent="0.45">
      <c r="B68" s="7"/>
      <c r="C68" s="19">
        <f t="shared" si="11"/>
        <v>45398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45428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45459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45489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45520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45551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45581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45612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45642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45673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45704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45732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45763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45793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45824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45854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45885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45916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45946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45977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46007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46038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46069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46097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46128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46158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46189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2">DATE(YEAR(C94),MONTH(C94)+1,DAY(C94))</f>
        <v>46219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2"/>
        <v>46250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2"/>
        <v>46281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2"/>
        <v>46311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2"/>
        <v>46342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2"/>
        <v>46372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2"/>
        <v>46403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2"/>
        <v>46434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2"/>
        <v>46462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2"/>
        <v>46493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2"/>
        <v>46523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2"/>
        <v>46554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2"/>
        <v>46584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-8.149072527885437E-10</v>
      </c>
      <c r="F110" s="43">
        <f>SUM(F29:F107)</f>
        <v>-116092.79999999997</v>
      </c>
      <c r="G110" s="43">
        <f>SUM(G29:G107)</f>
        <v>1810.5211003515221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114282.27889964763</v>
      </c>
      <c r="G116" s="119">
        <f>INDEX(M:M,MATCH(DATE(2021,12,DAY(D10)),C:C))</f>
        <v>0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-114282.27889964846</v>
      </c>
      <c r="G119" s="113">
        <f ca="1">IFERROR(SUM(INDIRECT("F"&amp;MATCH(DATE(2022,1,DAY(D10)),C:C)):INDIRECT("G"&amp;MATCH(DATE(2022,1,DAY(D10)),C:C)+11)),VALUE("0"))</f>
        <v>0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0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0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9C446-4A63-4D5B-B5B6-789192EB0666}">
  <dimension ref="B1:R130"/>
  <sheetViews>
    <sheetView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81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27478.49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43631</v>
      </c>
      <c r="E10" s="12">
        <f>VLOOKUP($C$2,'Lease Summary'!D:H,4,FALSE)</f>
        <v>44726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Option stated but with no amount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6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27478.49</v>
      </c>
      <c r="G22" s="7" t="s">
        <v>229</v>
      </c>
      <c r="H22" s="53">
        <f>-PV(F16,F12,F22,0,1)</f>
        <v>941239.02869039495</v>
      </c>
      <c r="J22" s="17" t="s">
        <v>234</v>
      </c>
      <c r="K22" s="22"/>
      <c r="L22" s="7"/>
      <c r="M22" s="65">
        <f>H22</f>
        <v>941239.02869039495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43631</v>
      </c>
      <c r="D29" s="27">
        <v>1</v>
      </c>
      <c r="E29" s="33">
        <f>H22</f>
        <v>941239.02869039495</v>
      </c>
      <c r="F29" s="42">
        <f>-D7</f>
        <v>-27478.49</v>
      </c>
      <c r="G29" s="46">
        <f t="shared" ref="G29:G40" si="0">((E29+F29)*($F$16))</f>
        <v>2623.3139600690374</v>
      </c>
      <c r="H29" s="59">
        <f>SUM(E29:G29)</f>
        <v>916383.85265046405</v>
      </c>
      <c r="J29" s="69">
        <f t="shared" ref="J29:J40" si="1">D29</f>
        <v>1</v>
      </c>
      <c r="K29" s="70">
        <f>M22</f>
        <v>941239.02869039495</v>
      </c>
      <c r="L29" s="42">
        <f t="shared" ref="L29:L40" si="2">-$M$22/$F$12</f>
        <v>-26145.528574733195</v>
      </c>
      <c r="M29" s="71">
        <f t="shared" ref="M29:M40" si="3">K29+L29</f>
        <v>915093.50011566177</v>
      </c>
      <c r="N29" s="32"/>
      <c r="O29" s="72">
        <f>+F29</f>
        <v>-27478.49</v>
      </c>
      <c r="P29" s="73">
        <f>+G29</f>
        <v>2623.3139600690374</v>
      </c>
      <c r="Q29" s="71">
        <f>-L29</f>
        <v>26145.528574733195</v>
      </c>
      <c r="R29" s="85"/>
    </row>
    <row r="30" spans="2:18" x14ac:dyDescent="0.45">
      <c r="B30" s="7"/>
      <c r="C30" s="19">
        <f>DATE(YEAR(C29),MONTH(C29)+1,DAY(C29))</f>
        <v>43661</v>
      </c>
      <c r="D30" s="26">
        <f t="shared" ref="D30:D64" si="4">D29+1</f>
        <v>2</v>
      </c>
      <c r="E30" s="34">
        <f t="shared" ref="E30:E40" si="5">H29</f>
        <v>916383.85265046405</v>
      </c>
      <c r="F30" s="43">
        <f t="shared" ref="F30:F64" si="6">F29</f>
        <v>-27478.49</v>
      </c>
      <c r="G30" s="47">
        <f t="shared" si="0"/>
        <v>2551.9572670135753</v>
      </c>
      <c r="H30" s="60">
        <f t="shared" ref="H30:H40" si="7">SUM(E30:G30)</f>
        <v>891457.31991747767</v>
      </c>
      <c r="J30" s="74">
        <f t="shared" si="1"/>
        <v>2</v>
      </c>
      <c r="K30" s="48">
        <f t="shared" ref="K30:K40" si="8">M29</f>
        <v>915093.50011566177</v>
      </c>
      <c r="L30" s="43">
        <f t="shared" si="2"/>
        <v>-26145.528574733195</v>
      </c>
      <c r="M30" s="75">
        <f t="shared" si="3"/>
        <v>888947.97154092859</v>
      </c>
      <c r="N30" s="32"/>
      <c r="O30" s="76">
        <f t="shared" ref="O30:P40" si="9">+O29+F30</f>
        <v>-54956.98</v>
      </c>
      <c r="P30" s="77">
        <f t="shared" si="9"/>
        <v>5175.2712270826123</v>
      </c>
      <c r="Q30" s="75">
        <f t="shared" ref="Q30:Q40" si="10">+Q29-L30</f>
        <v>52291.057149466389</v>
      </c>
      <c r="R30" s="86"/>
    </row>
    <row r="31" spans="2:18" x14ac:dyDescent="0.45">
      <c r="B31" s="7"/>
      <c r="C31" s="19">
        <f t="shared" ref="C31:C94" si="11">DATE(YEAR(C30),MONTH(C30)+1,DAY(C30))</f>
        <v>43692</v>
      </c>
      <c r="D31" s="26">
        <f t="shared" si="4"/>
        <v>3</v>
      </c>
      <c r="E31" s="34">
        <f t="shared" si="5"/>
        <v>891457.31991747767</v>
      </c>
      <c r="F31" s="43">
        <f t="shared" si="6"/>
        <v>-27478.49</v>
      </c>
      <c r="G31" s="47">
        <f t="shared" si="0"/>
        <v>2480.3957161194226</v>
      </c>
      <c r="H31" s="60">
        <f t="shared" si="7"/>
        <v>866459.22563359712</v>
      </c>
      <c r="J31" s="74">
        <f t="shared" si="1"/>
        <v>3</v>
      </c>
      <c r="K31" s="48">
        <f t="shared" si="8"/>
        <v>888947.97154092859</v>
      </c>
      <c r="L31" s="43">
        <f t="shared" si="2"/>
        <v>-26145.528574733195</v>
      </c>
      <c r="M31" s="75">
        <f t="shared" si="3"/>
        <v>862802.44296619541</v>
      </c>
      <c r="N31" s="32"/>
      <c r="O31" s="76">
        <f t="shared" si="9"/>
        <v>-82435.47</v>
      </c>
      <c r="P31" s="39">
        <f t="shared" si="9"/>
        <v>7655.6669432020353</v>
      </c>
      <c r="Q31" s="88">
        <f t="shared" si="10"/>
        <v>78436.585724199584</v>
      </c>
      <c r="R31" s="86"/>
    </row>
    <row r="32" spans="2:18" x14ac:dyDescent="0.45">
      <c r="B32" s="7"/>
      <c r="C32" s="19">
        <f t="shared" si="11"/>
        <v>43723</v>
      </c>
      <c r="D32" s="26">
        <f t="shared" si="4"/>
        <v>4</v>
      </c>
      <c r="E32" s="34">
        <f t="shared" si="5"/>
        <v>866459.22563359712</v>
      </c>
      <c r="F32" s="43">
        <f t="shared" si="6"/>
        <v>-27478.49</v>
      </c>
      <c r="G32" s="47">
        <f t="shared" si="0"/>
        <v>2408.6287192604727</v>
      </c>
      <c r="H32" s="60">
        <f t="shared" si="7"/>
        <v>841389.36435285758</v>
      </c>
      <c r="J32" s="74">
        <f t="shared" si="1"/>
        <v>4</v>
      </c>
      <c r="K32" s="48">
        <f t="shared" si="8"/>
        <v>862802.44296619541</v>
      </c>
      <c r="L32" s="43">
        <f t="shared" si="2"/>
        <v>-26145.528574733195</v>
      </c>
      <c r="M32" s="75">
        <f t="shared" si="3"/>
        <v>836656.91439146223</v>
      </c>
      <c r="N32" s="32"/>
      <c r="O32" s="76">
        <f t="shared" si="9"/>
        <v>-109913.96</v>
      </c>
      <c r="P32" s="39">
        <f t="shared" si="9"/>
        <v>10064.295662462508</v>
      </c>
      <c r="Q32" s="88">
        <f t="shared" si="10"/>
        <v>104582.11429893278</v>
      </c>
      <c r="R32" s="86"/>
    </row>
    <row r="33" spans="2:18" x14ac:dyDescent="0.45">
      <c r="B33" s="7"/>
      <c r="C33" s="19">
        <f t="shared" si="11"/>
        <v>43753</v>
      </c>
      <c r="D33" s="26">
        <f t="shared" si="4"/>
        <v>5</v>
      </c>
      <c r="E33" s="34">
        <f t="shared" si="5"/>
        <v>841389.36435285758</v>
      </c>
      <c r="F33" s="43">
        <f t="shared" si="6"/>
        <v>-27478.49</v>
      </c>
      <c r="G33" s="47">
        <f t="shared" si="0"/>
        <v>2336.6556866221686</v>
      </c>
      <c r="H33" s="60">
        <f t="shared" si="7"/>
        <v>816247.53003947972</v>
      </c>
      <c r="J33" s="74">
        <f t="shared" si="1"/>
        <v>5</v>
      </c>
      <c r="K33" s="48">
        <f t="shared" si="8"/>
        <v>836656.91439146223</v>
      </c>
      <c r="L33" s="43">
        <f t="shared" si="2"/>
        <v>-26145.528574733195</v>
      </c>
      <c r="M33" s="75">
        <f t="shared" si="3"/>
        <v>810511.38581672905</v>
      </c>
      <c r="N33" s="32"/>
      <c r="O33" s="76">
        <f t="shared" si="9"/>
        <v>-137392.45000000001</v>
      </c>
      <c r="P33" s="39">
        <f t="shared" si="9"/>
        <v>12400.951349084677</v>
      </c>
      <c r="Q33" s="88">
        <f t="shared" si="10"/>
        <v>130727.64287366597</v>
      </c>
      <c r="R33" s="86"/>
    </row>
    <row r="34" spans="2:18" x14ac:dyDescent="0.45">
      <c r="B34" s="7"/>
      <c r="C34" s="19">
        <f t="shared" si="11"/>
        <v>43784</v>
      </c>
      <c r="D34" s="26">
        <f t="shared" si="4"/>
        <v>6</v>
      </c>
      <c r="E34" s="34">
        <f t="shared" si="5"/>
        <v>816247.53003947972</v>
      </c>
      <c r="F34" s="43">
        <f t="shared" si="6"/>
        <v>-27478.49</v>
      </c>
      <c r="G34" s="47">
        <f t="shared" si="0"/>
        <v>2264.476026696655</v>
      </c>
      <c r="H34" s="60">
        <f t="shared" si="7"/>
        <v>791033.51606617635</v>
      </c>
      <c r="J34" s="74">
        <f t="shared" si="1"/>
        <v>6</v>
      </c>
      <c r="K34" s="48">
        <f t="shared" si="8"/>
        <v>810511.38581672905</v>
      </c>
      <c r="L34" s="43">
        <f t="shared" si="2"/>
        <v>-26145.528574733195</v>
      </c>
      <c r="M34" s="75">
        <f t="shared" si="3"/>
        <v>784365.85724199587</v>
      </c>
      <c r="N34" s="32"/>
      <c r="O34" s="76">
        <f t="shared" si="9"/>
        <v>-164870.94</v>
      </c>
      <c r="P34" s="39">
        <f t="shared" si="9"/>
        <v>14665.427375781332</v>
      </c>
      <c r="Q34" s="88">
        <f t="shared" si="10"/>
        <v>156873.17144839917</v>
      </c>
      <c r="R34" s="86"/>
    </row>
    <row r="35" spans="2:18" x14ac:dyDescent="0.45">
      <c r="B35" s="7"/>
      <c r="C35" s="19">
        <f t="shared" si="11"/>
        <v>43814</v>
      </c>
      <c r="D35" s="26">
        <f t="shared" si="4"/>
        <v>7</v>
      </c>
      <c r="E35" s="34">
        <f t="shared" si="5"/>
        <v>791033.51606617635</v>
      </c>
      <c r="F35" s="43">
        <f t="shared" si="6"/>
        <v>-27478.49</v>
      </c>
      <c r="G35" s="47">
        <f t="shared" si="0"/>
        <v>2192.0891462779177</v>
      </c>
      <c r="H35" s="60">
        <f t="shared" si="7"/>
        <v>765747.11521245423</v>
      </c>
      <c r="J35" s="74">
        <f t="shared" si="1"/>
        <v>7</v>
      </c>
      <c r="K35" s="48">
        <f t="shared" si="8"/>
        <v>784365.85724199587</v>
      </c>
      <c r="L35" s="43">
        <f t="shared" si="2"/>
        <v>-26145.528574733195</v>
      </c>
      <c r="M35" s="75">
        <f t="shared" si="3"/>
        <v>758220.32866726269</v>
      </c>
      <c r="N35" s="32"/>
      <c r="O35" s="76">
        <f t="shared" si="9"/>
        <v>-192349.43</v>
      </c>
      <c r="P35" s="39">
        <f t="shared" si="9"/>
        <v>16857.51652205925</v>
      </c>
      <c r="Q35" s="88">
        <f t="shared" si="10"/>
        <v>183018.70002313238</v>
      </c>
      <c r="R35" s="86"/>
    </row>
    <row r="36" spans="2:18" x14ac:dyDescent="0.45">
      <c r="B36" s="7"/>
      <c r="C36" s="19">
        <f t="shared" si="11"/>
        <v>43845</v>
      </c>
      <c r="D36" s="26">
        <f t="shared" si="4"/>
        <v>8</v>
      </c>
      <c r="E36" s="34">
        <f t="shared" si="5"/>
        <v>765747.11521245423</v>
      </c>
      <c r="F36" s="43">
        <f t="shared" si="6"/>
        <v>-27478.49</v>
      </c>
      <c r="G36" s="47">
        <f t="shared" si="0"/>
        <v>2119.4944504569085</v>
      </c>
      <c r="H36" s="60">
        <f t="shared" si="7"/>
        <v>740388.11966291117</v>
      </c>
      <c r="J36" s="74">
        <f t="shared" si="1"/>
        <v>8</v>
      </c>
      <c r="K36" s="48">
        <f t="shared" si="8"/>
        <v>758220.32866726269</v>
      </c>
      <c r="L36" s="43">
        <f t="shared" si="2"/>
        <v>-26145.528574733195</v>
      </c>
      <c r="M36" s="75">
        <f t="shared" si="3"/>
        <v>732074.80009252951</v>
      </c>
      <c r="N36" s="32"/>
      <c r="O36" s="76">
        <f t="shared" si="9"/>
        <v>-219827.91999999998</v>
      </c>
      <c r="P36" s="39">
        <f t="shared" si="9"/>
        <v>18977.01097251616</v>
      </c>
      <c r="Q36" s="88">
        <f t="shared" si="10"/>
        <v>209164.22859786556</v>
      </c>
      <c r="R36" s="86"/>
    </row>
    <row r="37" spans="2:18" x14ac:dyDescent="0.45">
      <c r="B37" s="7"/>
      <c r="C37" s="19">
        <f t="shared" si="11"/>
        <v>43876</v>
      </c>
      <c r="D37" s="26">
        <f t="shared" si="4"/>
        <v>9</v>
      </c>
      <c r="E37" s="34">
        <f t="shared" si="5"/>
        <v>740388.11966291117</v>
      </c>
      <c r="F37" s="43">
        <f t="shared" si="6"/>
        <v>-27478.49</v>
      </c>
      <c r="G37" s="47">
        <f t="shared" si="0"/>
        <v>2046.691342616655</v>
      </c>
      <c r="H37" s="60">
        <f t="shared" si="7"/>
        <v>714956.32100552786</v>
      </c>
      <c r="J37" s="74">
        <f t="shared" si="1"/>
        <v>9</v>
      </c>
      <c r="K37" s="48">
        <f t="shared" si="8"/>
        <v>732074.80009252951</v>
      </c>
      <c r="L37" s="43">
        <f t="shared" si="2"/>
        <v>-26145.528574733195</v>
      </c>
      <c r="M37" s="75">
        <f t="shared" si="3"/>
        <v>705929.27151779633</v>
      </c>
      <c r="N37" s="32"/>
      <c r="O37" s="76">
        <f t="shared" si="9"/>
        <v>-247306.40999999997</v>
      </c>
      <c r="P37" s="39">
        <f t="shared" si="9"/>
        <v>21023.702315132814</v>
      </c>
      <c r="Q37" s="88">
        <f t="shared" si="10"/>
        <v>235309.75717259874</v>
      </c>
      <c r="R37" s="86"/>
    </row>
    <row r="38" spans="2:18" x14ac:dyDescent="0.45">
      <c r="B38" s="7"/>
      <c r="C38" s="19">
        <f t="shared" si="11"/>
        <v>43905</v>
      </c>
      <c r="D38" s="26">
        <f t="shared" si="4"/>
        <v>10</v>
      </c>
      <c r="E38" s="34">
        <f t="shared" si="5"/>
        <v>714956.32100552786</v>
      </c>
      <c r="F38" s="43">
        <f t="shared" si="6"/>
        <v>-27478.49</v>
      </c>
      <c r="G38" s="47">
        <f t="shared" si="0"/>
        <v>1973.6792244273583</v>
      </c>
      <c r="H38" s="60">
        <f t="shared" si="7"/>
        <v>689451.51022995519</v>
      </c>
      <c r="J38" s="74">
        <f t="shared" si="1"/>
        <v>10</v>
      </c>
      <c r="K38" s="48">
        <f t="shared" si="8"/>
        <v>705929.27151779633</v>
      </c>
      <c r="L38" s="43">
        <f t="shared" si="2"/>
        <v>-26145.528574733195</v>
      </c>
      <c r="M38" s="75">
        <f t="shared" si="3"/>
        <v>679783.74294306315</v>
      </c>
      <c r="N38" s="32"/>
      <c r="O38" s="76">
        <f t="shared" si="9"/>
        <v>-274784.89999999997</v>
      </c>
      <c r="P38" s="39">
        <f t="shared" si="9"/>
        <v>22997.38153956017</v>
      </c>
      <c r="Q38" s="88">
        <f t="shared" si="10"/>
        <v>261455.28574733192</v>
      </c>
      <c r="R38" s="87"/>
    </row>
    <row r="39" spans="2:18" x14ac:dyDescent="0.45">
      <c r="B39" s="7"/>
      <c r="C39" s="19">
        <f t="shared" si="11"/>
        <v>43936</v>
      </c>
      <c r="D39" s="26">
        <f t="shared" si="4"/>
        <v>11</v>
      </c>
      <c r="E39" s="34">
        <f t="shared" si="5"/>
        <v>689451.51022995519</v>
      </c>
      <c r="F39" s="43">
        <f t="shared" si="6"/>
        <v>-27478.49</v>
      </c>
      <c r="G39" s="47">
        <f t="shared" si="0"/>
        <v>1900.4574958414746</v>
      </c>
      <c r="H39" s="60">
        <f t="shared" si="7"/>
        <v>663873.47772579663</v>
      </c>
      <c r="J39" s="74">
        <f t="shared" si="1"/>
        <v>11</v>
      </c>
      <c r="K39" s="48">
        <f t="shared" si="8"/>
        <v>679783.74294306315</v>
      </c>
      <c r="L39" s="43">
        <f t="shared" si="2"/>
        <v>-26145.528574733195</v>
      </c>
      <c r="M39" s="75">
        <f t="shared" si="3"/>
        <v>653638.21436832997</v>
      </c>
      <c r="N39" s="32"/>
      <c r="O39" s="76">
        <f t="shared" si="9"/>
        <v>-302263.38999999996</v>
      </c>
      <c r="P39" s="39">
        <f t="shared" si="9"/>
        <v>24897.839035401645</v>
      </c>
      <c r="Q39" s="88">
        <f t="shared" si="10"/>
        <v>287600.8143220651</v>
      </c>
      <c r="R39" s="87"/>
    </row>
    <row r="40" spans="2:18" x14ac:dyDescent="0.45">
      <c r="B40" s="7"/>
      <c r="C40" s="19">
        <f t="shared" si="11"/>
        <v>43966</v>
      </c>
      <c r="D40" s="26">
        <f t="shared" si="4"/>
        <v>12</v>
      </c>
      <c r="E40" s="34">
        <f t="shared" si="5"/>
        <v>663873.47772579663</v>
      </c>
      <c r="F40" s="43">
        <f t="shared" si="6"/>
        <v>-27478.49</v>
      </c>
      <c r="G40" s="47">
        <f t="shared" si="0"/>
        <v>1827.025555088785</v>
      </c>
      <c r="H40" s="60">
        <f t="shared" si="7"/>
        <v>638222.01328088541</v>
      </c>
      <c r="J40" s="74">
        <f t="shared" si="1"/>
        <v>12</v>
      </c>
      <c r="K40" s="48">
        <f t="shared" si="8"/>
        <v>653638.21436832997</v>
      </c>
      <c r="L40" s="43">
        <f t="shared" si="2"/>
        <v>-26145.528574733195</v>
      </c>
      <c r="M40" s="75">
        <f t="shared" si="3"/>
        <v>627492.68579359679</v>
      </c>
      <c r="N40" s="32"/>
      <c r="O40" s="76">
        <f t="shared" si="9"/>
        <v>-329741.87999999995</v>
      </c>
      <c r="P40" s="39">
        <f t="shared" si="9"/>
        <v>26724.86459049043</v>
      </c>
      <c r="Q40" s="88">
        <f t="shared" si="10"/>
        <v>313746.34289679828</v>
      </c>
      <c r="R40" s="87"/>
    </row>
    <row r="41" spans="2:18" x14ac:dyDescent="0.45">
      <c r="B41" s="7"/>
      <c r="C41" s="19">
        <f t="shared" si="11"/>
        <v>43997</v>
      </c>
      <c r="D41" s="26">
        <f t="shared" si="4"/>
        <v>13</v>
      </c>
      <c r="E41" s="34">
        <f t="shared" ref="E41:E58" si="12">H40</f>
        <v>638222.01328088541</v>
      </c>
      <c r="F41" s="43">
        <f t="shared" si="6"/>
        <v>-27478.49</v>
      </c>
      <c r="G41" s="47">
        <f t="shared" ref="G41:G58" si="13">((E41+F41)*($F$16))</f>
        <v>1753.3827986714493</v>
      </c>
      <c r="H41" s="60">
        <f t="shared" ref="H41:H58" si="14">SUM(E41:G41)</f>
        <v>612496.90607955691</v>
      </c>
      <c r="J41" s="74">
        <f t="shared" ref="J41:J64" si="15">D41</f>
        <v>13</v>
      </c>
      <c r="K41" s="48">
        <f t="shared" ref="K41:K64" si="16">M40</f>
        <v>627492.68579359679</v>
      </c>
      <c r="L41" s="43">
        <f t="shared" ref="L41:L64" si="17">-$M$22/$F$12</f>
        <v>-26145.528574733195</v>
      </c>
      <c r="M41" s="75">
        <f t="shared" ref="M41:M64" si="18">K41+L41</f>
        <v>601347.15721886361</v>
      </c>
      <c r="N41" s="32"/>
      <c r="O41" s="76">
        <f t="shared" ref="O41:O64" si="19">+O40+F41</f>
        <v>-357220.36999999994</v>
      </c>
      <c r="P41" s="39">
        <f t="shared" ref="P41:P64" si="20">+P40+G41</f>
        <v>28478.247389161879</v>
      </c>
      <c r="Q41" s="88">
        <f t="shared" ref="Q41:Q64" si="21">+Q40-L41</f>
        <v>339891.87147153146</v>
      </c>
      <c r="R41" s="87"/>
    </row>
    <row r="42" spans="2:18" x14ac:dyDescent="0.45">
      <c r="B42" s="7"/>
      <c r="C42" s="19">
        <f t="shared" si="11"/>
        <v>44027</v>
      </c>
      <c r="D42" s="26">
        <f t="shared" si="4"/>
        <v>14</v>
      </c>
      <c r="E42" s="34">
        <f t="shared" si="12"/>
        <v>612496.90607955691</v>
      </c>
      <c r="F42" s="43">
        <f t="shared" si="6"/>
        <v>-27478.49</v>
      </c>
      <c r="G42" s="47">
        <f t="shared" si="13"/>
        <v>1679.5286213590462</v>
      </c>
      <c r="H42" s="60">
        <f t="shared" si="14"/>
        <v>586697.94470091595</v>
      </c>
      <c r="J42" s="74">
        <f t="shared" si="15"/>
        <v>14</v>
      </c>
      <c r="K42" s="48">
        <f t="shared" si="16"/>
        <v>601347.15721886361</v>
      </c>
      <c r="L42" s="43">
        <f t="shared" si="17"/>
        <v>-26145.528574733195</v>
      </c>
      <c r="M42" s="75">
        <f t="shared" si="18"/>
        <v>575201.62864413043</v>
      </c>
      <c r="N42" s="32"/>
      <c r="O42" s="76">
        <f t="shared" si="19"/>
        <v>-384698.85999999993</v>
      </c>
      <c r="P42" s="39">
        <f t="shared" si="20"/>
        <v>30157.776010520924</v>
      </c>
      <c r="Q42" s="88">
        <f t="shared" si="21"/>
        <v>366037.40004626464</v>
      </c>
      <c r="R42" s="87"/>
    </row>
    <row r="43" spans="2:18" x14ac:dyDescent="0.45">
      <c r="B43" s="7"/>
      <c r="C43" s="19">
        <f t="shared" si="11"/>
        <v>44058</v>
      </c>
      <c r="D43" s="26">
        <f t="shared" si="4"/>
        <v>15</v>
      </c>
      <c r="E43" s="34">
        <f t="shared" si="12"/>
        <v>586697.94470091595</v>
      </c>
      <c r="F43" s="43">
        <f t="shared" si="6"/>
        <v>-27478.49</v>
      </c>
      <c r="G43" s="47">
        <f t="shared" si="13"/>
        <v>1605.462416183598</v>
      </c>
      <c r="H43" s="60">
        <f t="shared" si="14"/>
        <v>560824.91711709951</v>
      </c>
      <c r="J43" s="74">
        <f t="shared" si="15"/>
        <v>15</v>
      </c>
      <c r="K43" s="48">
        <f t="shared" si="16"/>
        <v>575201.62864413043</v>
      </c>
      <c r="L43" s="43">
        <f t="shared" si="17"/>
        <v>-26145.528574733195</v>
      </c>
      <c r="M43" s="75">
        <f t="shared" si="18"/>
        <v>549056.10006939725</v>
      </c>
      <c r="N43" s="32"/>
      <c r="O43" s="76">
        <f t="shared" si="19"/>
        <v>-412177.34999999992</v>
      </c>
      <c r="P43" s="39">
        <f t="shared" si="20"/>
        <v>31763.23842670452</v>
      </c>
      <c r="Q43" s="88">
        <f t="shared" si="21"/>
        <v>392182.92862099782</v>
      </c>
      <c r="R43" s="87"/>
    </row>
    <row r="44" spans="2:18" x14ac:dyDescent="0.45">
      <c r="B44" s="7"/>
      <c r="C44" s="19">
        <f t="shared" si="11"/>
        <v>44089</v>
      </c>
      <c r="D44" s="26">
        <f t="shared" si="4"/>
        <v>16</v>
      </c>
      <c r="E44" s="34">
        <f t="shared" si="12"/>
        <v>560824.91711709951</v>
      </c>
      <c r="F44" s="43">
        <f t="shared" si="6"/>
        <v>-27478.49</v>
      </c>
      <c r="G44" s="47">
        <f t="shared" si="13"/>
        <v>1531.1835744345847</v>
      </c>
      <c r="H44" s="60">
        <f t="shared" si="14"/>
        <v>534877.61069153412</v>
      </c>
      <c r="J44" s="74">
        <f t="shared" si="15"/>
        <v>16</v>
      </c>
      <c r="K44" s="48">
        <f t="shared" si="16"/>
        <v>549056.10006939725</v>
      </c>
      <c r="L44" s="43">
        <f t="shared" si="17"/>
        <v>-26145.528574733195</v>
      </c>
      <c r="M44" s="75">
        <f t="shared" si="18"/>
        <v>522910.57149466407</v>
      </c>
      <c r="N44" s="32"/>
      <c r="O44" s="76">
        <f t="shared" si="19"/>
        <v>-439655.83999999991</v>
      </c>
      <c r="P44" s="39">
        <f t="shared" si="20"/>
        <v>33294.422001139108</v>
      </c>
      <c r="Q44" s="88">
        <f t="shared" si="21"/>
        <v>418328.457195731</v>
      </c>
      <c r="R44" s="87"/>
    </row>
    <row r="45" spans="2:18" x14ac:dyDescent="0.45">
      <c r="B45" s="7"/>
      <c r="C45" s="19">
        <f t="shared" si="11"/>
        <v>44119</v>
      </c>
      <c r="D45" s="26">
        <f t="shared" si="4"/>
        <v>17</v>
      </c>
      <c r="E45" s="34">
        <f t="shared" si="12"/>
        <v>534877.61069153412</v>
      </c>
      <c r="F45" s="43">
        <f t="shared" si="6"/>
        <v>-27478.49</v>
      </c>
      <c r="G45" s="47">
        <f t="shared" si="13"/>
        <v>1456.6914856539399</v>
      </c>
      <c r="H45" s="60">
        <f t="shared" si="14"/>
        <v>508855.81217718805</v>
      </c>
      <c r="J45" s="74">
        <f t="shared" si="15"/>
        <v>17</v>
      </c>
      <c r="K45" s="48">
        <f t="shared" si="16"/>
        <v>522910.57149466407</v>
      </c>
      <c r="L45" s="43">
        <f t="shared" si="17"/>
        <v>-26145.528574733195</v>
      </c>
      <c r="M45" s="75">
        <f t="shared" si="18"/>
        <v>496765.04291993089</v>
      </c>
      <c r="N45" s="32"/>
      <c r="O45" s="76">
        <f t="shared" si="19"/>
        <v>-467134.3299999999</v>
      </c>
      <c r="P45" s="39">
        <f t="shared" si="20"/>
        <v>34751.113486793045</v>
      </c>
      <c r="Q45" s="88">
        <f t="shared" si="21"/>
        <v>444473.98577046418</v>
      </c>
      <c r="R45" s="87"/>
    </row>
    <row r="46" spans="2:18" x14ac:dyDescent="0.45">
      <c r="B46" s="7"/>
      <c r="C46" s="19">
        <f t="shared" si="11"/>
        <v>44150</v>
      </c>
      <c r="D46" s="26">
        <f t="shared" si="4"/>
        <v>18</v>
      </c>
      <c r="E46" s="34">
        <f t="shared" si="12"/>
        <v>508855.81217718805</v>
      </c>
      <c r="F46" s="43">
        <f t="shared" si="6"/>
        <v>-27478.49</v>
      </c>
      <c r="G46" s="47">
        <f t="shared" si="13"/>
        <v>1381.9855376310334</v>
      </c>
      <c r="H46" s="60">
        <f t="shared" si="14"/>
        <v>482759.30771481909</v>
      </c>
      <c r="J46" s="74">
        <f t="shared" si="15"/>
        <v>18</v>
      </c>
      <c r="K46" s="48">
        <f t="shared" si="16"/>
        <v>496765.04291993089</v>
      </c>
      <c r="L46" s="43">
        <f t="shared" si="17"/>
        <v>-26145.528574733195</v>
      </c>
      <c r="M46" s="75">
        <f t="shared" si="18"/>
        <v>470619.51434519771</v>
      </c>
      <c r="N46" s="32"/>
      <c r="O46" s="76">
        <f t="shared" si="19"/>
        <v>-494612.81999999989</v>
      </c>
      <c r="P46" s="39">
        <f t="shared" si="20"/>
        <v>36133.099024424082</v>
      </c>
      <c r="Q46" s="88">
        <f t="shared" si="21"/>
        <v>470619.51434519736</v>
      </c>
      <c r="R46" s="87"/>
    </row>
    <row r="47" spans="2:18" x14ac:dyDescent="0.45">
      <c r="B47" s="7"/>
      <c r="C47" s="19">
        <f t="shared" si="11"/>
        <v>44180</v>
      </c>
      <c r="D47" s="26">
        <f t="shared" si="4"/>
        <v>19</v>
      </c>
      <c r="E47" s="34">
        <f t="shared" si="12"/>
        <v>482759.30771481909</v>
      </c>
      <c r="F47" s="43">
        <f t="shared" si="6"/>
        <v>-27478.49</v>
      </c>
      <c r="G47" s="47">
        <f t="shared" si="13"/>
        <v>1307.0651163976404</v>
      </c>
      <c r="H47" s="60">
        <f t="shared" si="14"/>
        <v>456587.88283121673</v>
      </c>
      <c r="J47" s="74">
        <f t="shared" si="15"/>
        <v>19</v>
      </c>
      <c r="K47" s="48">
        <f t="shared" si="16"/>
        <v>470619.51434519771</v>
      </c>
      <c r="L47" s="43">
        <f t="shared" si="17"/>
        <v>-26145.528574733195</v>
      </c>
      <c r="M47" s="75">
        <f t="shared" si="18"/>
        <v>444473.98577046453</v>
      </c>
      <c r="N47" s="32"/>
      <c r="O47" s="76">
        <f t="shared" si="19"/>
        <v>-522091.30999999988</v>
      </c>
      <c r="P47" s="39">
        <f t="shared" si="20"/>
        <v>37440.164140821726</v>
      </c>
      <c r="Q47" s="88">
        <f t="shared" si="21"/>
        <v>496765.04291993054</v>
      </c>
      <c r="R47" s="87"/>
    </row>
    <row r="48" spans="2:18" x14ac:dyDescent="0.45">
      <c r="B48" s="7"/>
      <c r="C48" s="19">
        <f t="shared" si="11"/>
        <v>44211</v>
      </c>
      <c r="D48" s="26">
        <f t="shared" si="4"/>
        <v>20</v>
      </c>
      <c r="E48" s="34">
        <f t="shared" si="12"/>
        <v>456587.88283121673</v>
      </c>
      <c r="F48" s="43">
        <f t="shared" si="6"/>
        <v>-27478.49</v>
      </c>
      <c r="G48" s="47">
        <f t="shared" si="13"/>
        <v>1231.9296062228957</v>
      </c>
      <c r="H48" s="60">
        <f t="shared" si="14"/>
        <v>430341.32243743964</v>
      </c>
      <c r="J48" s="74">
        <f t="shared" si="15"/>
        <v>20</v>
      </c>
      <c r="K48" s="48">
        <f t="shared" si="16"/>
        <v>444473.98577046453</v>
      </c>
      <c r="L48" s="43">
        <f t="shared" si="17"/>
        <v>-26145.528574733195</v>
      </c>
      <c r="M48" s="75">
        <f t="shared" si="18"/>
        <v>418328.45719573135</v>
      </c>
      <c r="N48" s="32"/>
      <c r="O48" s="76">
        <f t="shared" si="19"/>
        <v>-549569.79999999993</v>
      </c>
      <c r="P48" s="39">
        <f t="shared" si="20"/>
        <v>38672.093747044622</v>
      </c>
      <c r="Q48" s="88">
        <f t="shared" si="21"/>
        <v>522910.57149466372</v>
      </c>
      <c r="R48" s="87"/>
    </row>
    <row r="49" spans="2:18" x14ac:dyDescent="0.45">
      <c r="B49" s="7"/>
      <c r="C49" s="19">
        <f t="shared" si="11"/>
        <v>44242</v>
      </c>
      <c r="D49" s="26">
        <f t="shared" si="4"/>
        <v>21</v>
      </c>
      <c r="E49" s="34">
        <f t="shared" si="12"/>
        <v>430341.32243743964</v>
      </c>
      <c r="F49" s="43">
        <f t="shared" si="6"/>
        <v>-27478.49</v>
      </c>
      <c r="G49" s="47">
        <f t="shared" si="13"/>
        <v>1156.5783896082335</v>
      </c>
      <c r="H49" s="60">
        <f t="shared" si="14"/>
        <v>404019.41082704789</v>
      </c>
      <c r="J49" s="74">
        <f t="shared" si="15"/>
        <v>21</v>
      </c>
      <c r="K49" s="48">
        <f t="shared" si="16"/>
        <v>418328.45719573135</v>
      </c>
      <c r="L49" s="43">
        <f t="shared" si="17"/>
        <v>-26145.528574733195</v>
      </c>
      <c r="M49" s="75">
        <f t="shared" si="18"/>
        <v>392182.92862099817</v>
      </c>
      <c r="N49" s="80"/>
      <c r="O49" s="76">
        <f t="shared" si="19"/>
        <v>-577048.28999999992</v>
      </c>
      <c r="P49" s="39">
        <f t="shared" si="20"/>
        <v>39828.672136652858</v>
      </c>
      <c r="Q49" s="88">
        <f t="shared" si="21"/>
        <v>549056.1000693969</v>
      </c>
      <c r="R49" s="87"/>
    </row>
    <row r="50" spans="2:18" x14ac:dyDescent="0.45">
      <c r="B50" s="7"/>
      <c r="C50" s="19">
        <f t="shared" si="11"/>
        <v>44270</v>
      </c>
      <c r="D50" s="26">
        <f t="shared" si="4"/>
        <v>22</v>
      </c>
      <c r="E50" s="34">
        <f t="shared" si="12"/>
        <v>404019.41082704789</v>
      </c>
      <c r="F50" s="43">
        <f t="shared" si="6"/>
        <v>-27478.49</v>
      </c>
      <c r="G50" s="47">
        <f t="shared" si="13"/>
        <v>1081.0108472823113</v>
      </c>
      <c r="H50" s="60">
        <f t="shared" si="14"/>
        <v>377621.9316743302</v>
      </c>
      <c r="J50" s="74">
        <f t="shared" si="15"/>
        <v>22</v>
      </c>
      <c r="K50" s="48">
        <f t="shared" si="16"/>
        <v>392182.92862099817</v>
      </c>
      <c r="L50" s="43">
        <f t="shared" si="17"/>
        <v>-26145.528574733195</v>
      </c>
      <c r="M50" s="75">
        <f t="shared" si="18"/>
        <v>366037.40004626499</v>
      </c>
      <c r="N50" s="32"/>
      <c r="O50" s="76">
        <f t="shared" si="19"/>
        <v>-604526.77999999991</v>
      </c>
      <c r="P50" s="39">
        <f t="shared" si="20"/>
        <v>40909.68298393517</v>
      </c>
      <c r="Q50" s="88">
        <f t="shared" si="21"/>
        <v>575201.62864413008</v>
      </c>
      <c r="R50" s="32"/>
    </row>
    <row r="51" spans="2:18" x14ac:dyDescent="0.45">
      <c r="B51" s="7"/>
      <c r="C51" s="19">
        <f t="shared" si="11"/>
        <v>44301</v>
      </c>
      <c r="D51" s="26">
        <f t="shared" si="4"/>
        <v>23</v>
      </c>
      <c r="E51" s="34">
        <f t="shared" si="12"/>
        <v>377621.9316743302</v>
      </c>
      <c r="F51" s="43">
        <f t="shared" si="6"/>
        <v>-27478.49</v>
      </c>
      <c r="G51" s="47">
        <f t="shared" si="13"/>
        <v>1005.2263581959215</v>
      </c>
      <c r="H51" s="60">
        <f t="shared" si="14"/>
        <v>351148.66803252616</v>
      </c>
      <c r="J51" s="74">
        <f t="shared" si="15"/>
        <v>23</v>
      </c>
      <c r="K51" s="48">
        <f t="shared" si="16"/>
        <v>366037.40004626499</v>
      </c>
      <c r="L51" s="43">
        <f t="shared" si="17"/>
        <v>-26145.528574733195</v>
      </c>
      <c r="M51" s="75">
        <f t="shared" si="18"/>
        <v>339891.87147153181</v>
      </c>
      <c r="N51" s="32"/>
      <c r="O51" s="76">
        <f t="shared" si="19"/>
        <v>-632005.2699999999</v>
      </c>
      <c r="P51" s="39">
        <f t="shared" si="20"/>
        <v>41914.90934213109</v>
      </c>
      <c r="Q51" s="88">
        <f t="shared" si="21"/>
        <v>601347.15721886326</v>
      </c>
      <c r="R51" s="32"/>
    </row>
    <row r="52" spans="2:18" x14ac:dyDescent="0.45">
      <c r="B52" s="7"/>
      <c r="C52" s="19">
        <f t="shared" si="11"/>
        <v>44331</v>
      </c>
      <c r="D52" s="26">
        <f t="shared" si="4"/>
        <v>24</v>
      </c>
      <c r="E52" s="34">
        <f t="shared" si="12"/>
        <v>351148.66803252616</v>
      </c>
      <c r="F52" s="43">
        <f t="shared" si="6"/>
        <v>-27478.49</v>
      </c>
      <c r="G52" s="47">
        <f t="shared" si="13"/>
        <v>929.2242995168881</v>
      </c>
      <c r="H52" s="60">
        <f t="shared" si="14"/>
        <v>324599.40233204304</v>
      </c>
      <c r="J52" s="74">
        <f t="shared" si="15"/>
        <v>24</v>
      </c>
      <c r="K52" s="48">
        <f t="shared" si="16"/>
        <v>339891.87147153181</v>
      </c>
      <c r="L52" s="43">
        <f t="shared" si="17"/>
        <v>-26145.528574733195</v>
      </c>
      <c r="M52" s="75">
        <f t="shared" si="18"/>
        <v>313746.34289679863</v>
      </c>
      <c r="N52" s="32"/>
      <c r="O52" s="76">
        <f t="shared" si="19"/>
        <v>-659483.75999999989</v>
      </c>
      <c r="P52" s="39">
        <f t="shared" si="20"/>
        <v>42844.133641647975</v>
      </c>
      <c r="Q52" s="88">
        <f t="shared" si="21"/>
        <v>627492.68579359644</v>
      </c>
      <c r="R52" s="32"/>
    </row>
    <row r="53" spans="2:18" x14ac:dyDescent="0.45">
      <c r="B53" s="7"/>
      <c r="C53" s="19">
        <f t="shared" si="11"/>
        <v>44362</v>
      </c>
      <c r="D53" s="26">
        <f t="shared" si="4"/>
        <v>25</v>
      </c>
      <c r="E53" s="34">
        <f t="shared" si="12"/>
        <v>324599.40233204304</v>
      </c>
      <c r="F53" s="43">
        <f t="shared" si="6"/>
        <v>-27478.49</v>
      </c>
      <c r="G53" s="47">
        <f t="shared" si="13"/>
        <v>853.00404662494566</v>
      </c>
      <c r="H53" s="60">
        <f t="shared" si="14"/>
        <v>297973.91637866799</v>
      </c>
      <c r="J53" s="74">
        <f t="shared" si="15"/>
        <v>25</v>
      </c>
      <c r="K53" s="48">
        <f t="shared" si="16"/>
        <v>313746.34289679863</v>
      </c>
      <c r="L53" s="43">
        <f t="shared" si="17"/>
        <v>-26145.528574733195</v>
      </c>
      <c r="M53" s="75">
        <f t="shared" si="18"/>
        <v>287600.81432206545</v>
      </c>
      <c r="N53" s="32"/>
      <c r="O53" s="76">
        <f t="shared" si="19"/>
        <v>-686962.24999999988</v>
      </c>
      <c r="P53" s="39">
        <f t="shared" si="20"/>
        <v>43697.137688272924</v>
      </c>
      <c r="Q53" s="88">
        <f t="shared" si="21"/>
        <v>653638.21436832962</v>
      </c>
      <c r="R53" s="32"/>
    </row>
    <row r="54" spans="2:18" x14ac:dyDescent="0.45">
      <c r="B54" s="7"/>
      <c r="C54" s="19">
        <f t="shared" si="11"/>
        <v>44392</v>
      </c>
      <c r="D54" s="26">
        <f t="shared" si="4"/>
        <v>26</v>
      </c>
      <c r="E54" s="34">
        <f t="shared" si="12"/>
        <v>297973.91637866799</v>
      </c>
      <c r="F54" s="43">
        <f t="shared" si="6"/>
        <v>-27478.49</v>
      </c>
      <c r="G54" s="47">
        <f t="shared" si="13"/>
        <v>776.56497310660814</v>
      </c>
      <c r="H54" s="60">
        <f t="shared" si="14"/>
        <v>271271.9913517746</v>
      </c>
      <c r="J54" s="74">
        <f t="shared" si="15"/>
        <v>26</v>
      </c>
      <c r="K54" s="48">
        <f t="shared" si="16"/>
        <v>287600.81432206545</v>
      </c>
      <c r="L54" s="43">
        <f t="shared" si="17"/>
        <v>-26145.528574733195</v>
      </c>
      <c r="M54" s="75">
        <f t="shared" si="18"/>
        <v>261455.28574733227</v>
      </c>
      <c r="N54" s="32"/>
      <c r="O54" s="76">
        <f t="shared" si="19"/>
        <v>-714440.73999999987</v>
      </c>
      <c r="P54" s="39">
        <f t="shared" si="20"/>
        <v>44473.702661379531</v>
      </c>
      <c r="Q54" s="88">
        <f t="shared" si="21"/>
        <v>679783.7429430628</v>
      </c>
      <c r="R54" s="32"/>
    </row>
    <row r="55" spans="2:18" x14ac:dyDescent="0.45">
      <c r="B55" s="7"/>
      <c r="C55" s="19">
        <f t="shared" si="11"/>
        <v>44423</v>
      </c>
      <c r="D55" s="26">
        <f t="shared" si="4"/>
        <v>27</v>
      </c>
      <c r="E55" s="34">
        <f t="shared" si="12"/>
        <v>271271.9913517746</v>
      </c>
      <c r="F55" s="43">
        <f t="shared" si="6"/>
        <v>-27478.49</v>
      </c>
      <c r="G55" s="47">
        <f t="shared" si="13"/>
        <v>699.90645075001942</v>
      </c>
      <c r="H55" s="60">
        <f t="shared" si="14"/>
        <v>244493.40780252463</v>
      </c>
      <c r="J55" s="74">
        <f t="shared" si="15"/>
        <v>27</v>
      </c>
      <c r="K55" s="48">
        <f t="shared" si="16"/>
        <v>261455.28574733227</v>
      </c>
      <c r="L55" s="43">
        <f t="shared" si="17"/>
        <v>-26145.528574733195</v>
      </c>
      <c r="M55" s="75">
        <f t="shared" si="18"/>
        <v>235309.75717259909</v>
      </c>
      <c r="N55" s="32"/>
      <c r="O55" s="76">
        <f t="shared" si="19"/>
        <v>-741919.22999999986</v>
      </c>
      <c r="P55" s="39">
        <f t="shared" si="20"/>
        <v>45173.609112129554</v>
      </c>
      <c r="Q55" s="88">
        <f t="shared" si="21"/>
        <v>705929.27151779598</v>
      </c>
      <c r="R55" s="32"/>
    </row>
    <row r="56" spans="2:18" x14ac:dyDescent="0.45">
      <c r="B56" s="7"/>
      <c r="C56" s="19">
        <f t="shared" si="11"/>
        <v>44454</v>
      </c>
      <c r="D56" s="26">
        <f t="shared" si="4"/>
        <v>28</v>
      </c>
      <c r="E56" s="34">
        <f t="shared" si="12"/>
        <v>244493.40780252463</v>
      </c>
      <c r="F56" s="43">
        <f t="shared" si="6"/>
        <v>-27478.49</v>
      </c>
      <c r="G56" s="47">
        <f t="shared" si="13"/>
        <v>623.02784953979074</v>
      </c>
      <c r="H56" s="60">
        <f t="shared" si="14"/>
        <v>217637.94565206443</v>
      </c>
      <c r="J56" s="74">
        <f t="shared" si="15"/>
        <v>28</v>
      </c>
      <c r="K56" s="48">
        <f t="shared" si="16"/>
        <v>235309.75717259909</v>
      </c>
      <c r="L56" s="43">
        <f t="shared" si="17"/>
        <v>-26145.528574733195</v>
      </c>
      <c r="M56" s="75">
        <f t="shared" si="18"/>
        <v>209164.22859786591</v>
      </c>
      <c r="N56" s="32"/>
      <c r="O56" s="76">
        <f t="shared" si="19"/>
        <v>-769397.71999999986</v>
      </c>
      <c r="P56" s="39">
        <f t="shared" si="20"/>
        <v>45796.636961669348</v>
      </c>
      <c r="Q56" s="88">
        <f t="shared" si="21"/>
        <v>732074.80009252916</v>
      </c>
      <c r="R56" s="32"/>
    </row>
    <row r="57" spans="2:18" x14ac:dyDescent="0.45">
      <c r="B57" s="7"/>
      <c r="C57" s="19">
        <f t="shared" si="11"/>
        <v>44484</v>
      </c>
      <c r="D57" s="26">
        <f t="shared" si="4"/>
        <v>29</v>
      </c>
      <c r="E57" s="34">
        <f t="shared" si="12"/>
        <v>217637.94565206443</v>
      </c>
      <c r="F57" s="43">
        <f t="shared" si="6"/>
        <v>-27478.49</v>
      </c>
      <c r="G57" s="47">
        <f t="shared" si="13"/>
        <v>545.92853765182338</v>
      </c>
      <c r="H57" s="60">
        <f t="shared" si="14"/>
        <v>190705.38418971625</v>
      </c>
      <c r="J57" s="74">
        <f t="shared" si="15"/>
        <v>29</v>
      </c>
      <c r="K57" s="48">
        <f t="shared" si="16"/>
        <v>209164.22859786591</v>
      </c>
      <c r="L57" s="43">
        <f t="shared" si="17"/>
        <v>-26145.528574733195</v>
      </c>
      <c r="M57" s="75">
        <f t="shared" si="18"/>
        <v>183018.70002313273</v>
      </c>
      <c r="N57" s="32"/>
      <c r="O57" s="76">
        <f t="shared" si="19"/>
        <v>-796876.20999999985</v>
      </c>
      <c r="P57" s="39">
        <f t="shared" si="20"/>
        <v>46342.565499321172</v>
      </c>
      <c r="Q57" s="88">
        <f t="shared" si="21"/>
        <v>758220.32866726234</v>
      </c>
      <c r="R57" s="32"/>
    </row>
    <row r="58" spans="2:18" x14ac:dyDescent="0.45">
      <c r="B58" s="7"/>
      <c r="C58" s="19">
        <f t="shared" si="11"/>
        <v>44515</v>
      </c>
      <c r="D58" s="26">
        <f t="shared" si="4"/>
        <v>30</v>
      </c>
      <c r="E58" s="34">
        <f t="shared" si="12"/>
        <v>190705.38418971625</v>
      </c>
      <c r="F58" s="43">
        <f t="shared" si="6"/>
        <v>-27478.49</v>
      </c>
      <c r="G58" s="47">
        <f t="shared" si="13"/>
        <v>468.60788144811499</v>
      </c>
      <c r="H58" s="60">
        <f t="shared" si="14"/>
        <v>163695.50207116437</v>
      </c>
      <c r="J58" s="74">
        <f t="shared" si="15"/>
        <v>30</v>
      </c>
      <c r="K58" s="48">
        <f t="shared" si="16"/>
        <v>183018.70002313273</v>
      </c>
      <c r="L58" s="43">
        <f t="shared" si="17"/>
        <v>-26145.528574733195</v>
      </c>
      <c r="M58" s="75">
        <f t="shared" si="18"/>
        <v>156873.17144839955</v>
      </c>
      <c r="N58" s="32"/>
      <c r="O58" s="76">
        <f t="shared" si="19"/>
        <v>-824354.69999999984</v>
      </c>
      <c r="P58" s="39">
        <f t="shared" si="20"/>
        <v>46811.173380769287</v>
      </c>
      <c r="Q58" s="88">
        <f t="shared" si="21"/>
        <v>784365.85724199552</v>
      </c>
      <c r="R58" s="32"/>
    </row>
    <row r="59" spans="2:18" x14ac:dyDescent="0.45">
      <c r="B59" s="7"/>
      <c r="C59" s="19">
        <f t="shared" si="11"/>
        <v>44545</v>
      </c>
      <c r="D59" s="26">
        <f t="shared" si="4"/>
        <v>31</v>
      </c>
      <c r="E59" s="34">
        <f t="shared" ref="E59:E63" si="22">H58</f>
        <v>163695.50207116437</v>
      </c>
      <c r="F59" s="43">
        <f t="shared" si="6"/>
        <v>-27478.49</v>
      </c>
      <c r="G59" s="47">
        <f t="shared" ref="G59:G63" si="23">((E59+F59)*($F$16))</f>
        <v>391.06524547155334</v>
      </c>
      <c r="H59" s="60">
        <f t="shared" ref="H59:H63" si="24">SUM(E59:G59)</f>
        <v>136608.07731663593</v>
      </c>
      <c r="J59" s="74">
        <f t="shared" si="15"/>
        <v>31</v>
      </c>
      <c r="K59" s="48">
        <f t="shared" si="16"/>
        <v>156873.17144839955</v>
      </c>
      <c r="L59" s="43">
        <f t="shared" si="17"/>
        <v>-26145.528574733195</v>
      </c>
      <c r="M59" s="75">
        <f t="shared" si="18"/>
        <v>130727.64287366635</v>
      </c>
      <c r="N59" s="32"/>
      <c r="O59" s="76">
        <f t="shared" si="19"/>
        <v>-851833.18999999983</v>
      </c>
      <c r="P59" s="39">
        <f t="shared" si="20"/>
        <v>47202.23862624084</v>
      </c>
      <c r="Q59" s="88">
        <f t="shared" si="21"/>
        <v>810511.3858167287</v>
      </c>
      <c r="R59" s="32"/>
    </row>
    <row r="60" spans="2:18" x14ac:dyDescent="0.45">
      <c r="B60" s="7"/>
      <c r="C60" s="19">
        <f t="shared" si="11"/>
        <v>44576</v>
      </c>
      <c r="D60" s="26">
        <f t="shared" si="4"/>
        <v>32</v>
      </c>
      <c r="E60" s="34">
        <f t="shared" si="22"/>
        <v>136608.07731663593</v>
      </c>
      <c r="F60" s="43">
        <f t="shared" si="6"/>
        <v>-27478.49</v>
      </c>
      <c r="G60" s="47">
        <f t="shared" si="23"/>
        <v>313.29999244069268</v>
      </c>
      <c r="H60" s="60">
        <f t="shared" si="24"/>
        <v>109442.88730907661</v>
      </c>
      <c r="J60" s="74">
        <f t="shared" si="15"/>
        <v>32</v>
      </c>
      <c r="K60" s="48">
        <f t="shared" si="16"/>
        <v>130727.64287366635</v>
      </c>
      <c r="L60" s="43">
        <f t="shared" si="17"/>
        <v>-26145.528574733195</v>
      </c>
      <c r="M60" s="75">
        <f t="shared" si="18"/>
        <v>104582.11429893316</v>
      </c>
      <c r="N60" s="32"/>
      <c r="O60" s="76">
        <f t="shared" si="19"/>
        <v>-879311.67999999982</v>
      </c>
      <c r="P60" s="39">
        <f t="shared" si="20"/>
        <v>47515.53861868153</v>
      </c>
      <c r="Q60" s="88">
        <f t="shared" si="21"/>
        <v>836656.91439146188</v>
      </c>
      <c r="R60" s="32"/>
    </row>
    <row r="61" spans="2:18" x14ac:dyDescent="0.45">
      <c r="B61" s="7"/>
      <c r="C61" s="19">
        <f t="shared" si="11"/>
        <v>44607</v>
      </c>
      <c r="D61" s="26">
        <f t="shared" si="4"/>
        <v>33</v>
      </c>
      <c r="E61" s="34">
        <f t="shared" si="22"/>
        <v>109442.88730907661</v>
      </c>
      <c r="F61" s="43">
        <f t="shared" si="6"/>
        <v>-27478.49</v>
      </c>
      <c r="G61" s="47">
        <f t="shared" si="23"/>
        <v>235.31148324451701</v>
      </c>
      <c r="H61" s="60">
        <f t="shared" si="24"/>
        <v>82199.708792321122</v>
      </c>
      <c r="J61" s="74">
        <f t="shared" si="15"/>
        <v>33</v>
      </c>
      <c r="K61" s="48">
        <f t="shared" si="16"/>
        <v>104582.11429893316</v>
      </c>
      <c r="L61" s="43">
        <f t="shared" si="17"/>
        <v>-26145.528574733195</v>
      </c>
      <c r="M61" s="75">
        <f t="shared" si="18"/>
        <v>78436.585724199962</v>
      </c>
      <c r="N61" s="32"/>
      <c r="O61" s="76">
        <f t="shared" si="19"/>
        <v>-906790.16999999981</v>
      </c>
      <c r="P61" s="39">
        <f t="shared" si="20"/>
        <v>47750.850101926044</v>
      </c>
      <c r="Q61" s="88">
        <f t="shared" si="21"/>
        <v>862802.44296619506</v>
      </c>
      <c r="R61" s="32"/>
    </row>
    <row r="62" spans="2:18" x14ac:dyDescent="0.45">
      <c r="B62" s="7"/>
      <c r="C62" s="19">
        <f t="shared" si="11"/>
        <v>44635</v>
      </c>
      <c r="D62" s="26">
        <f t="shared" si="4"/>
        <v>34</v>
      </c>
      <c r="E62" s="34">
        <f t="shared" si="22"/>
        <v>82199.708792321122</v>
      </c>
      <c r="F62" s="43">
        <f t="shared" si="6"/>
        <v>-27478.49</v>
      </c>
      <c r="G62" s="47">
        <f t="shared" si="23"/>
        <v>157.09907693718736</v>
      </c>
      <c r="H62" s="60">
        <f t="shared" si="24"/>
        <v>54878.317869258302</v>
      </c>
      <c r="J62" s="74">
        <f t="shared" si="15"/>
        <v>34</v>
      </c>
      <c r="K62" s="48">
        <f t="shared" si="16"/>
        <v>78436.585724199962</v>
      </c>
      <c r="L62" s="43">
        <f t="shared" si="17"/>
        <v>-26145.528574733195</v>
      </c>
      <c r="M62" s="75">
        <f t="shared" si="18"/>
        <v>52291.057149466767</v>
      </c>
      <c r="N62" s="32"/>
      <c r="O62" s="76">
        <f t="shared" si="19"/>
        <v>-934268.6599999998</v>
      </c>
      <c r="P62" s="39">
        <f t="shared" si="20"/>
        <v>47907.949178863229</v>
      </c>
      <c r="Q62" s="88">
        <f t="shared" si="21"/>
        <v>888947.97154092824</v>
      </c>
      <c r="R62" s="32"/>
    </row>
    <row r="63" spans="2:18" x14ac:dyDescent="0.45">
      <c r="B63" s="7"/>
      <c r="C63" s="19">
        <f t="shared" si="11"/>
        <v>44666</v>
      </c>
      <c r="D63" s="26">
        <f t="shared" si="4"/>
        <v>35</v>
      </c>
      <c r="E63" s="34">
        <f t="shared" si="22"/>
        <v>54878.317869258302</v>
      </c>
      <c r="F63" s="43">
        <f t="shared" si="6"/>
        <v>-27478.49</v>
      </c>
      <c r="G63" s="47">
        <f t="shared" si="23"/>
        <v>78.662130732774145</v>
      </c>
      <c r="H63" s="60">
        <f t="shared" si="24"/>
        <v>27478.489999991074</v>
      </c>
      <c r="J63" s="74">
        <f t="shared" si="15"/>
        <v>35</v>
      </c>
      <c r="K63" s="48">
        <f t="shared" si="16"/>
        <v>52291.057149466767</v>
      </c>
      <c r="L63" s="43">
        <f t="shared" si="17"/>
        <v>-26145.528574733195</v>
      </c>
      <c r="M63" s="75">
        <f t="shared" si="18"/>
        <v>26145.528574733573</v>
      </c>
      <c r="N63" s="32"/>
      <c r="O63" s="76">
        <f t="shared" si="19"/>
        <v>-961747.14999999979</v>
      </c>
      <c r="P63" s="39">
        <f t="shared" si="20"/>
        <v>47986.611309596003</v>
      </c>
      <c r="Q63" s="88">
        <f t="shared" si="21"/>
        <v>915093.50011566142</v>
      </c>
      <c r="R63" s="32"/>
    </row>
    <row r="64" spans="2:18" x14ac:dyDescent="0.45">
      <c r="B64" s="7"/>
      <c r="C64" s="19">
        <f t="shared" si="11"/>
        <v>44696</v>
      </c>
      <c r="D64" s="26">
        <f t="shared" si="4"/>
        <v>36</v>
      </c>
      <c r="E64" s="34">
        <f t="shared" ref="E64" si="25">H63</f>
        <v>27478.489999991074</v>
      </c>
      <c r="F64" s="43">
        <f t="shared" si="6"/>
        <v>-27478.49</v>
      </c>
      <c r="G64" s="47">
        <f t="shared" ref="G64" si="26">((E64+F64)*($F$16))</f>
        <v>-2.5630235383192775E-11</v>
      </c>
      <c r="H64" s="60">
        <f t="shared" ref="H64" si="27">SUM(E64:G64)</f>
        <v>-8.9532302279862562E-9</v>
      </c>
      <c r="J64" s="74">
        <f t="shared" si="15"/>
        <v>36</v>
      </c>
      <c r="K64" s="48">
        <f t="shared" si="16"/>
        <v>26145.528574733573</v>
      </c>
      <c r="L64" s="43">
        <f t="shared" si="17"/>
        <v>-26145.528574733195</v>
      </c>
      <c r="M64" s="75">
        <f t="shared" si="18"/>
        <v>3.7834979593753815E-10</v>
      </c>
      <c r="N64" s="32"/>
      <c r="O64" s="76">
        <f t="shared" si="19"/>
        <v>-989225.63999999978</v>
      </c>
      <c r="P64" s="39">
        <f t="shared" si="20"/>
        <v>47986.611309595974</v>
      </c>
      <c r="Q64" s="88">
        <f t="shared" si="21"/>
        <v>941239.0286903946</v>
      </c>
      <c r="R64" s="32"/>
    </row>
    <row r="65" spans="2:18" x14ac:dyDescent="0.45">
      <c r="B65" s="7"/>
      <c r="C65" s="19">
        <f t="shared" si="11"/>
        <v>44727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89"/>
      <c r="P65" s="8"/>
      <c r="Q65" s="90"/>
      <c r="R65" s="32"/>
    </row>
    <row r="66" spans="2:18" x14ac:dyDescent="0.45">
      <c r="B66" s="7"/>
      <c r="C66" s="19">
        <f t="shared" si="11"/>
        <v>44757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89"/>
      <c r="P66" s="8"/>
      <c r="Q66" s="90"/>
      <c r="R66" s="32"/>
    </row>
    <row r="67" spans="2:18" x14ac:dyDescent="0.45">
      <c r="B67" s="7"/>
      <c r="C67" s="19">
        <f t="shared" si="11"/>
        <v>44788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89"/>
      <c r="P67" s="8"/>
      <c r="Q67" s="90"/>
      <c r="R67" s="32"/>
    </row>
    <row r="68" spans="2:18" x14ac:dyDescent="0.45">
      <c r="B68" s="7"/>
      <c r="C68" s="19">
        <f t="shared" si="11"/>
        <v>44819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44849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44880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44910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44941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44972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45000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45031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45061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45092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45122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45153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45184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45214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45245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45275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45306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45337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45366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45397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45427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45458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45488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45519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45550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45580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45611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28">DATE(YEAR(C94),MONTH(C94)+1,DAY(C94))</f>
        <v>45641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28"/>
        <v>45672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28"/>
        <v>45703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28"/>
        <v>45731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28"/>
        <v>45762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28"/>
        <v>45792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28"/>
        <v>45823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28"/>
        <v>45853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28"/>
        <v>45884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28"/>
        <v>45915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28"/>
        <v>45945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28"/>
        <v>45976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28"/>
        <v>46006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-8.8475644588470459E-9</v>
      </c>
      <c r="F110" s="43">
        <f>SUM(F29:F107)</f>
        <v>-989225.63999999978</v>
      </c>
      <c r="G110" s="43">
        <f>SUM(G29:G107)</f>
        <v>47986.611309595974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444473.98577046453</v>
      </c>
      <c r="G116" s="119">
        <f>INDEX(M:M,MATCH(DATE(2021,12,DAY(D10)),C:C))</f>
        <v>130727.64287366635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-319979.80551458086</v>
      </c>
      <c r="G119" s="113">
        <f ca="1">IFERROR(SUM(INDIRECT("F"&amp;MATCH(DATE(2022,1,DAY(D10)),C:C)):INDIRECT("G"&amp;MATCH(DATE(2022,1,DAY(D10)),C:C)+11)),VALUE("0"))</f>
        <v>-136608.07731664486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-136608.07731664486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-137392.45000000001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22CB5-279A-4329-B68D-A85B77E41D03}">
  <dimension ref="B1:R130"/>
  <sheetViews>
    <sheetView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85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34584.43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43678</v>
      </c>
      <c r="E10" s="12">
        <f>VLOOKUP($C$2,'Lease Summary'!D:H,4,FALSE)</f>
        <v>44773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Option stated but with no amount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8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34584.43</v>
      </c>
      <c r="G22" s="7" t="s">
        <v>229</v>
      </c>
      <c r="H22" s="53">
        <f>-PV(F16,F12,F22,0,1)</f>
        <v>1184643.5266643455</v>
      </c>
      <c r="J22" s="17" t="s">
        <v>234</v>
      </c>
      <c r="K22" s="22"/>
      <c r="L22" s="7"/>
      <c r="M22" s="65">
        <f>H22</f>
        <v>1184643.5266643455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43678</v>
      </c>
      <c r="D29" s="27">
        <v>1</v>
      </c>
      <c r="E29" s="33">
        <f>H22</f>
        <v>1184643.5266643455</v>
      </c>
      <c r="F29" s="42">
        <f>-D7</f>
        <v>-34584.43</v>
      </c>
      <c r="G29" s="46">
        <f t="shared" ref="G29:G40" si="0">((E29+F29)*($F$16))</f>
        <v>3301.7031874761101</v>
      </c>
      <c r="H29" s="59">
        <f>SUM(E29:G29)</f>
        <v>1153360.7998518217</v>
      </c>
      <c r="J29" s="69">
        <f t="shared" ref="J29:J64" si="1">D29</f>
        <v>1</v>
      </c>
      <c r="K29" s="70">
        <f>M22</f>
        <v>1184643.5266643455</v>
      </c>
      <c r="L29" s="42">
        <f t="shared" ref="L29:L40" si="2">-$M$22/$F$12</f>
        <v>-32906.76462956515</v>
      </c>
      <c r="M29" s="71">
        <f t="shared" ref="M29:M64" si="3">K29+L29</f>
        <v>1151736.7620347803</v>
      </c>
      <c r="N29" s="32"/>
      <c r="O29" s="72">
        <f>+F29</f>
        <v>-34584.43</v>
      </c>
      <c r="P29" s="73">
        <f>+G29</f>
        <v>3301.7031874761101</v>
      </c>
      <c r="Q29" s="71">
        <f>-L29</f>
        <v>32906.76462956515</v>
      </c>
      <c r="R29" s="85"/>
    </row>
    <row r="30" spans="2:18" x14ac:dyDescent="0.45">
      <c r="B30" s="7"/>
      <c r="C30" s="19">
        <f>DATE(YEAR(C29),MONTH(C29)+1,DAY(C29))</f>
        <v>43709</v>
      </c>
      <c r="D30" s="26">
        <f t="shared" ref="D30:D64" si="4">D29+1</f>
        <v>2</v>
      </c>
      <c r="E30" s="34">
        <f t="shared" ref="E30:E64" si="5">H29</f>
        <v>1153360.7998518217</v>
      </c>
      <c r="F30" s="43">
        <f t="shared" ref="F30:F64" si="6">F29</f>
        <v>-34584.43</v>
      </c>
      <c r="G30" s="47">
        <f t="shared" si="0"/>
        <v>3211.893647140811</v>
      </c>
      <c r="H30" s="60">
        <f t="shared" ref="H30:H64" si="7">SUM(E30:G30)</f>
        <v>1121988.2634989626</v>
      </c>
      <c r="J30" s="74">
        <f t="shared" si="1"/>
        <v>2</v>
      </c>
      <c r="K30" s="48">
        <f t="shared" ref="K30:K64" si="8">M29</f>
        <v>1151736.7620347803</v>
      </c>
      <c r="L30" s="43">
        <f t="shared" si="2"/>
        <v>-32906.76462956515</v>
      </c>
      <c r="M30" s="75">
        <f t="shared" si="3"/>
        <v>1118829.9974052152</v>
      </c>
      <c r="N30" s="32"/>
      <c r="O30" s="76">
        <f t="shared" ref="O30:P45" si="9">+O29+F30</f>
        <v>-69168.86</v>
      </c>
      <c r="P30" s="77">
        <f t="shared" si="9"/>
        <v>6513.5968346169211</v>
      </c>
      <c r="Q30" s="75">
        <f t="shared" ref="Q30:Q64" si="10">+Q29-L30</f>
        <v>65813.5292591303</v>
      </c>
      <c r="R30" s="86"/>
    </row>
    <row r="31" spans="2:18" x14ac:dyDescent="0.45">
      <c r="B31" s="7"/>
      <c r="C31" s="19">
        <f t="shared" ref="C31:C94" si="11">DATE(YEAR(C30),MONTH(C30)+1,DAY(C30))</f>
        <v>43739</v>
      </c>
      <c r="D31" s="26">
        <f t="shared" si="4"/>
        <v>3</v>
      </c>
      <c r="E31" s="34">
        <f t="shared" si="5"/>
        <v>1121988.2634989626</v>
      </c>
      <c r="F31" s="43">
        <f t="shared" si="6"/>
        <v>-34584.43</v>
      </c>
      <c r="G31" s="47">
        <f t="shared" si="0"/>
        <v>3121.8262727112024</v>
      </c>
      <c r="H31" s="60">
        <f t="shared" si="7"/>
        <v>1090525.6597716738</v>
      </c>
      <c r="J31" s="74">
        <f t="shared" si="1"/>
        <v>3</v>
      </c>
      <c r="K31" s="48">
        <f t="shared" si="8"/>
        <v>1118829.9974052152</v>
      </c>
      <c r="L31" s="43">
        <f t="shared" si="2"/>
        <v>-32906.76462956515</v>
      </c>
      <c r="M31" s="75">
        <f t="shared" si="3"/>
        <v>1085923.23277565</v>
      </c>
      <c r="N31" s="32"/>
      <c r="O31" s="76">
        <f t="shared" si="9"/>
        <v>-103753.29000000001</v>
      </c>
      <c r="P31" s="39">
        <f t="shared" si="9"/>
        <v>9635.4231073281226</v>
      </c>
      <c r="Q31" s="88">
        <f t="shared" si="10"/>
        <v>98720.293888695451</v>
      </c>
      <c r="R31" s="86"/>
    </row>
    <row r="32" spans="2:18" x14ac:dyDescent="0.45">
      <c r="B32" s="7"/>
      <c r="C32" s="19">
        <f t="shared" si="11"/>
        <v>43770</v>
      </c>
      <c r="D32" s="26">
        <f t="shared" si="4"/>
        <v>4</v>
      </c>
      <c r="E32" s="34">
        <f t="shared" si="5"/>
        <v>1090525.6597716738</v>
      </c>
      <c r="F32" s="43">
        <f t="shared" si="6"/>
        <v>-34584.43</v>
      </c>
      <c r="G32" s="47">
        <f t="shared" si="0"/>
        <v>3031.500323971713</v>
      </c>
      <c r="H32" s="60">
        <f t="shared" si="7"/>
        <v>1058972.7300956456</v>
      </c>
      <c r="J32" s="74">
        <f t="shared" si="1"/>
        <v>4</v>
      </c>
      <c r="K32" s="48">
        <f t="shared" si="8"/>
        <v>1085923.23277565</v>
      </c>
      <c r="L32" s="43">
        <f t="shared" si="2"/>
        <v>-32906.76462956515</v>
      </c>
      <c r="M32" s="75">
        <f t="shared" si="3"/>
        <v>1053016.4681460848</v>
      </c>
      <c r="N32" s="32"/>
      <c r="O32" s="76">
        <f t="shared" si="9"/>
        <v>-138337.72</v>
      </c>
      <c r="P32" s="39">
        <f t="shared" si="9"/>
        <v>12666.923431299836</v>
      </c>
      <c r="Q32" s="88">
        <f t="shared" si="10"/>
        <v>131627.0585182606</v>
      </c>
      <c r="R32" s="86"/>
    </row>
    <row r="33" spans="2:18" x14ac:dyDescent="0.45">
      <c r="B33" s="7"/>
      <c r="C33" s="19">
        <f t="shared" si="11"/>
        <v>43800</v>
      </c>
      <c r="D33" s="26">
        <f t="shared" si="4"/>
        <v>5</v>
      </c>
      <c r="E33" s="34">
        <f t="shared" si="5"/>
        <v>1058972.7300956456</v>
      </c>
      <c r="F33" s="43">
        <f t="shared" si="6"/>
        <v>-34584.43</v>
      </c>
      <c r="G33" s="47">
        <f t="shared" si="0"/>
        <v>2940.9150585816878</v>
      </c>
      <c r="H33" s="60">
        <f t="shared" si="7"/>
        <v>1027329.2151542273</v>
      </c>
      <c r="J33" s="74">
        <f t="shared" si="1"/>
        <v>5</v>
      </c>
      <c r="K33" s="48">
        <f t="shared" si="8"/>
        <v>1053016.4681460848</v>
      </c>
      <c r="L33" s="43">
        <f t="shared" si="2"/>
        <v>-32906.76462956515</v>
      </c>
      <c r="M33" s="75">
        <f t="shared" si="3"/>
        <v>1020109.7035165196</v>
      </c>
      <c r="N33" s="32"/>
      <c r="O33" s="76">
        <f t="shared" si="9"/>
        <v>-172922.15</v>
      </c>
      <c r="P33" s="39">
        <f t="shared" si="9"/>
        <v>15607.838489881524</v>
      </c>
      <c r="Q33" s="88">
        <f t="shared" si="10"/>
        <v>164533.82314782575</v>
      </c>
      <c r="R33" s="86"/>
    </row>
    <row r="34" spans="2:18" x14ac:dyDescent="0.45">
      <c r="B34" s="7"/>
      <c r="C34" s="19">
        <f t="shared" si="11"/>
        <v>43831</v>
      </c>
      <c r="D34" s="26">
        <f t="shared" si="4"/>
        <v>6</v>
      </c>
      <c r="E34" s="34">
        <f t="shared" si="5"/>
        <v>1027329.2151542273</v>
      </c>
      <c r="F34" s="43">
        <f t="shared" si="6"/>
        <v>-34584.43</v>
      </c>
      <c r="G34" s="47">
        <f t="shared" si="0"/>
        <v>2850.0697320692875</v>
      </c>
      <c r="H34" s="60">
        <f t="shared" si="7"/>
        <v>995594.85488629655</v>
      </c>
      <c r="J34" s="74">
        <f t="shared" si="1"/>
        <v>6</v>
      </c>
      <c r="K34" s="48">
        <f t="shared" si="8"/>
        <v>1020109.7035165196</v>
      </c>
      <c r="L34" s="43">
        <f t="shared" si="2"/>
        <v>-32906.76462956515</v>
      </c>
      <c r="M34" s="75">
        <f t="shared" si="3"/>
        <v>987202.93888695445</v>
      </c>
      <c r="N34" s="32"/>
      <c r="O34" s="76">
        <f t="shared" si="9"/>
        <v>-207506.58</v>
      </c>
      <c r="P34" s="39">
        <f t="shared" si="9"/>
        <v>18457.908221950813</v>
      </c>
      <c r="Q34" s="88">
        <f t="shared" si="10"/>
        <v>197440.5877773909</v>
      </c>
      <c r="R34" s="86"/>
    </row>
    <row r="35" spans="2:18" x14ac:dyDescent="0.45">
      <c r="B35" s="7"/>
      <c r="C35" s="19">
        <f t="shared" si="11"/>
        <v>43862</v>
      </c>
      <c r="D35" s="26">
        <f t="shared" si="4"/>
        <v>7</v>
      </c>
      <c r="E35" s="34">
        <f t="shared" si="5"/>
        <v>995594.85488629655</v>
      </c>
      <c r="F35" s="43">
        <f t="shared" si="6"/>
        <v>-34584.43</v>
      </c>
      <c r="G35" s="47">
        <f t="shared" si="0"/>
        <v>2758.9635978253682</v>
      </c>
      <c r="H35" s="60">
        <f t="shared" si="7"/>
        <v>963769.38848412188</v>
      </c>
      <c r="J35" s="74">
        <f t="shared" si="1"/>
        <v>7</v>
      </c>
      <c r="K35" s="48">
        <f t="shared" si="8"/>
        <v>987202.93888695445</v>
      </c>
      <c r="L35" s="43">
        <f t="shared" si="2"/>
        <v>-32906.76462956515</v>
      </c>
      <c r="M35" s="75">
        <f t="shared" si="3"/>
        <v>954296.17425738927</v>
      </c>
      <c r="N35" s="32"/>
      <c r="O35" s="76">
        <f t="shared" si="9"/>
        <v>-242091.00999999998</v>
      </c>
      <c r="P35" s="39">
        <f t="shared" si="9"/>
        <v>21216.871819776181</v>
      </c>
      <c r="Q35" s="88">
        <f t="shared" si="10"/>
        <v>230347.35240695605</v>
      </c>
      <c r="R35" s="86"/>
    </row>
    <row r="36" spans="2:18" x14ac:dyDescent="0.45">
      <c r="B36" s="7"/>
      <c r="C36" s="19">
        <f t="shared" si="11"/>
        <v>43891</v>
      </c>
      <c r="D36" s="26">
        <f t="shared" si="4"/>
        <v>8</v>
      </c>
      <c r="E36" s="34">
        <f t="shared" si="5"/>
        <v>963769.38848412188</v>
      </c>
      <c r="F36" s="43">
        <f t="shared" si="6"/>
        <v>-34584.43</v>
      </c>
      <c r="G36" s="47">
        <f t="shared" si="0"/>
        <v>2667.5959070973481</v>
      </c>
      <c r="H36" s="60">
        <f t="shared" si="7"/>
        <v>931852.55439121916</v>
      </c>
      <c r="J36" s="74">
        <f t="shared" si="1"/>
        <v>8</v>
      </c>
      <c r="K36" s="48">
        <f t="shared" si="8"/>
        <v>954296.17425738927</v>
      </c>
      <c r="L36" s="43">
        <f t="shared" si="2"/>
        <v>-32906.76462956515</v>
      </c>
      <c r="M36" s="75">
        <f t="shared" si="3"/>
        <v>921389.40962782409</v>
      </c>
      <c r="N36" s="32"/>
      <c r="O36" s="76">
        <f t="shared" si="9"/>
        <v>-276675.44</v>
      </c>
      <c r="P36" s="39">
        <f t="shared" si="9"/>
        <v>23884.467726873529</v>
      </c>
      <c r="Q36" s="88">
        <f t="shared" si="10"/>
        <v>263254.1170365212</v>
      </c>
      <c r="R36" s="86"/>
    </row>
    <row r="37" spans="2:18" x14ac:dyDescent="0.45">
      <c r="B37" s="7"/>
      <c r="C37" s="19">
        <f t="shared" si="11"/>
        <v>43922</v>
      </c>
      <c r="D37" s="26">
        <f t="shared" si="4"/>
        <v>9</v>
      </c>
      <c r="E37" s="34">
        <f t="shared" si="5"/>
        <v>931852.55439121916</v>
      </c>
      <c r="F37" s="43">
        <f t="shared" si="6"/>
        <v>-34584.43</v>
      </c>
      <c r="G37" s="47">
        <f t="shared" si="0"/>
        <v>2575.965908983052</v>
      </c>
      <c r="H37" s="60">
        <f t="shared" si="7"/>
        <v>899844.09030020214</v>
      </c>
      <c r="J37" s="74">
        <f t="shared" si="1"/>
        <v>9</v>
      </c>
      <c r="K37" s="48">
        <f t="shared" si="8"/>
        <v>921389.40962782409</v>
      </c>
      <c r="L37" s="43">
        <f t="shared" si="2"/>
        <v>-32906.76462956515</v>
      </c>
      <c r="M37" s="75">
        <f t="shared" si="3"/>
        <v>888482.64499825891</v>
      </c>
      <c r="N37" s="32"/>
      <c r="O37" s="76">
        <f t="shared" si="9"/>
        <v>-311259.87</v>
      </c>
      <c r="P37" s="39">
        <f t="shared" si="9"/>
        <v>26460.433635856582</v>
      </c>
      <c r="Q37" s="88">
        <f t="shared" si="10"/>
        <v>296160.88166608638</v>
      </c>
      <c r="R37" s="86"/>
    </row>
    <row r="38" spans="2:18" x14ac:dyDescent="0.45">
      <c r="B38" s="7"/>
      <c r="C38" s="19">
        <f t="shared" si="11"/>
        <v>43952</v>
      </c>
      <c r="D38" s="26">
        <f t="shared" si="4"/>
        <v>10</v>
      </c>
      <c r="E38" s="34">
        <f t="shared" si="5"/>
        <v>899844.09030020214</v>
      </c>
      <c r="F38" s="43">
        <f t="shared" si="6"/>
        <v>-34584.43</v>
      </c>
      <c r="G38" s="47">
        <f t="shared" si="0"/>
        <v>2484.0728504245408</v>
      </c>
      <c r="H38" s="60">
        <f t="shared" si="7"/>
        <v>867743.73315062665</v>
      </c>
      <c r="J38" s="74">
        <f t="shared" si="1"/>
        <v>10</v>
      </c>
      <c r="K38" s="48">
        <f t="shared" si="8"/>
        <v>888482.64499825891</v>
      </c>
      <c r="L38" s="43">
        <f t="shared" si="2"/>
        <v>-32906.76462956515</v>
      </c>
      <c r="M38" s="75">
        <f t="shared" si="3"/>
        <v>855575.88036869373</v>
      </c>
      <c r="N38" s="32"/>
      <c r="O38" s="76">
        <f t="shared" si="9"/>
        <v>-345844.3</v>
      </c>
      <c r="P38" s="39">
        <f t="shared" si="9"/>
        <v>28944.506486281123</v>
      </c>
      <c r="Q38" s="88">
        <f t="shared" si="10"/>
        <v>329067.64629565156</v>
      </c>
      <c r="R38" s="87"/>
    </row>
    <row r="39" spans="2:18" x14ac:dyDescent="0.45">
      <c r="B39" s="7"/>
      <c r="C39" s="19">
        <f t="shared" si="11"/>
        <v>43983</v>
      </c>
      <c r="D39" s="26">
        <f t="shared" si="4"/>
        <v>11</v>
      </c>
      <c r="E39" s="34">
        <f t="shared" si="5"/>
        <v>867743.73315062665</v>
      </c>
      <c r="F39" s="43">
        <f t="shared" si="6"/>
        <v>-34584.43</v>
      </c>
      <c r="G39" s="47">
        <f t="shared" si="0"/>
        <v>2391.9159762019217</v>
      </c>
      <c r="H39" s="60">
        <f t="shared" si="7"/>
        <v>835551.21912682848</v>
      </c>
      <c r="J39" s="74">
        <f t="shared" si="1"/>
        <v>11</v>
      </c>
      <c r="K39" s="48">
        <f t="shared" si="8"/>
        <v>855575.88036869373</v>
      </c>
      <c r="L39" s="43">
        <f t="shared" si="2"/>
        <v>-32906.76462956515</v>
      </c>
      <c r="M39" s="75">
        <f t="shared" si="3"/>
        <v>822669.11573912855</v>
      </c>
      <c r="N39" s="32"/>
      <c r="O39" s="76">
        <f t="shared" si="9"/>
        <v>-380428.73</v>
      </c>
      <c r="P39" s="39">
        <f t="shared" si="9"/>
        <v>31336.422462483046</v>
      </c>
      <c r="Q39" s="88">
        <f t="shared" si="10"/>
        <v>361974.41092521674</v>
      </c>
      <c r="R39" s="87"/>
    </row>
    <row r="40" spans="2:18" x14ac:dyDescent="0.45">
      <c r="B40" s="7"/>
      <c r="C40" s="19">
        <f t="shared" si="11"/>
        <v>44013</v>
      </c>
      <c r="D40" s="26">
        <f t="shared" si="4"/>
        <v>12</v>
      </c>
      <c r="E40" s="34">
        <f t="shared" si="5"/>
        <v>835551.21912682848</v>
      </c>
      <c r="F40" s="43">
        <f t="shared" si="6"/>
        <v>-34584.43</v>
      </c>
      <c r="G40" s="47">
        <f t="shared" si="0"/>
        <v>2299.4945289271427</v>
      </c>
      <c r="H40" s="60">
        <f t="shared" si="7"/>
        <v>803266.28365575557</v>
      </c>
      <c r="J40" s="74">
        <f t="shared" si="1"/>
        <v>12</v>
      </c>
      <c r="K40" s="48">
        <f t="shared" si="8"/>
        <v>822669.11573912855</v>
      </c>
      <c r="L40" s="43">
        <f t="shared" si="2"/>
        <v>-32906.76462956515</v>
      </c>
      <c r="M40" s="75">
        <f t="shared" si="3"/>
        <v>789762.35110956337</v>
      </c>
      <c r="N40" s="32"/>
      <c r="O40" s="76">
        <f t="shared" si="9"/>
        <v>-415013.16</v>
      </c>
      <c r="P40" s="39">
        <f t="shared" si="9"/>
        <v>33635.916991410188</v>
      </c>
      <c r="Q40" s="88">
        <f t="shared" si="10"/>
        <v>394881.17555478192</v>
      </c>
      <c r="R40" s="87"/>
    </row>
    <row r="41" spans="2:18" x14ac:dyDescent="0.45">
      <c r="B41" s="7"/>
      <c r="C41" s="19">
        <f t="shared" si="11"/>
        <v>44044</v>
      </c>
      <c r="D41" s="26">
        <f t="shared" si="4"/>
        <v>13</v>
      </c>
      <c r="E41" s="34">
        <f t="shared" si="5"/>
        <v>803266.28365575557</v>
      </c>
      <c r="F41" s="43">
        <f t="shared" si="6"/>
        <v>-34584.43</v>
      </c>
      <c r="G41" s="47">
        <f t="shared" ref="G41:G64" si="12">((E41+F41)*($F$16))</f>
        <v>2206.8077490377673</v>
      </c>
      <c r="H41" s="60">
        <f t="shared" si="7"/>
        <v>770888.66140479327</v>
      </c>
      <c r="J41" s="74">
        <f t="shared" si="1"/>
        <v>13</v>
      </c>
      <c r="K41" s="48">
        <f t="shared" si="8"/>
        <v>789762.35110956337</v>
      </c>
      <c r="L41" s="43">
        <f t="shared" ref="L41:L64" si="13">-$M$22/$F$12</f>
        <v>-32906.76462956515</v>
      </c>
      <c r="M41" s="75">
        <f t="shared" si="3"/>
        <v>756855.58647999819</v>
      </c>
      <c r="N41" s="32"/>
      <c r="O41" s="76">
        <f t="shared" si="9"/>
        <v>-449597.58999999997</v>
      </c>
      <c r="P41" s="39">
        <f t="shared" si="9"/>
        <v>35842.724740447957</v>
      </c>
      <c r="Q41" s="88">
        <f t="shared" si="10"/>
        <v>427787.9401843471</v>
      </c>
      <c r="R41" s="87"/>
    </row>
    <row r="42" spans="2:18" x14ac:dyDescent="0.45">
      <c r="B42" s="7"/>
      <c r="C42" s="19">
        <f t="shared" si="11"/>
        <v>44075</v>
      </c>
      <c r="D42" s="26">
        <f t="shared" si="4"/>
        <v>14</v>
      </c>
      <c r="E42" s="34">
        <f t="shared" si="5"/>
        <v>770888.66140479327</v>
      </c>
      <c r="F42" s="43">
        <f t="shared" si="6"/>
        <v>-34584.43</v>
      </c>
      <c r="G42" s="47">
        <f t="shared" si="12"/>
        <v>2113.8548747907325</v>
      </c>
      <c r="H42" s="60">
        <f t="shared" si="7"/>
        <v>738418.08627958398</v>
      </c>
      <c r="J42" s="74">
        <f t="shared" si="1"/>
        <v>14</v>
      </c>
      <c r="K42" s="48">
        <f t="shared" si="8"/>
        <v>756855.58647999819</v>
      </c>
      <c r="L42" s="43">
        <f t="shared" si="13"/>
        <v>-32906.76462956515</v>
      </c>
      <c r="M42" s="75">
        <f t="shared" si="3"/>
        <v>723948.82185043301</v>
      </c>
      <c r="N42" s="32"/>
      <c r="O42" s="76">
        <f t="shared" si="9"/>
        <v>-484182.01999999996</v>
      </c>
      <c r="P42" s="39">
        <f t="shared" si="9"/>
        <v>37956.57961523869</v>
      </c>
      <c r="Q42" s="88">
        <f t="shared" si="10"/>
        <v>460694.70481391228</v>
      </c>
      <c r="R42" s="87"/>
    </row>
    <row r="43" spans="2:18" x14ac:dyDescent="0.45">
      <c r="B43" s="7"/>
      <c r="C43" s="19">
        <f t="shared" si="11"/>
        <v>44105</v>
      </c>
      <c r="D43" s="26">
        <f t="shared" si="4"/>
        <v>15</v>
      </c>
      <c r="E43" s="34">
        <f t="shared" si="5"/>
        <v>738418.08627958398</v>
      </c>
      <c r="F43" s="43">
        <f t="shared" si="6"/>
        <v>-34584.43</v>
      </c>
      <c r="G43" s="47">
        <f t="shared" si="12"/>
        <v>2020.6351422560872</v>
      </c>
      <c r="H43" s="60">
        <f t="shared" si="7"/>
        <v>705854.29142183997</v>
      </c>
      <c r="J43" s="74">
        <f t="shared" si="1"/>
        <v>15</v>
      </c>
      <c r="K43" s="48">
        <f t="shared" si="8"/>
        <v>723948.82185043301</v>
      </c>
      <c r="L43" s="43">
        <f t="shared" si="13"/>
        <v>-32906.76462956515</v>
      </c>
      <c r="M43" s="75">
        <f t="shared" si="3"/>
        <v>691042.05722086783</v>
      </c>
      <c r="N43" s="32"/>
      <c r="O43" s="76">
        <f t="shared" si="9"/>
        <v>-518766.44999999995</v>
      </c>
      <c r="P43" s="39">
        <f t="shared" si="9"/>
        <v>39977.214757494774</v>
      </c>
      <c r="Q43" s="88">
        <f t="shared" si="10"/>
        <v>493601.46944347746</v>
      </c>
      <c r="R43" s="87"/>
    </row>
    <row r="44" spans="2:18" x14ac:dyDescent="0.45">
      <c r="B44" s="7"/>
      <c r="C44" s="19">
        <f t="shared" si="11"/>
        <v>44136</v>
      </c>
      <c r="D44" s="26">
        <f t="shared" si="4"/>
        <v>16</v>
      </c>
      <c r="E44" s="34">
        <f t="shared" si="5"/>
        <v>705854.29142183997</v>
      </c>
      <c r="F44" s="43">
        <f t="shared" si="6"/>
        <v>-34584.43</v>
      </c>
      <c r="G44" s="47">
        <f t="shared" si="12"/>
        <v>1927.1477853107153</v>
      </c>
      <c r="H44" s="60">
        <f t="shared" si="7"/>
        <v>673197.00920715067</v>
      </c>
      <c r="J44" s="74">
        <f t="shared" si="1"/>
        <v>16</v>
      </c>
      <c r="K44" s="48">
        <f t="shared" si="8"/>
        <v>691042.05722086783</v>
      </c>
      <c r="L44" s="43">
        <f t="shared" si="13"/>
        <v>-32906.76462956515</v>
      </c>
      <c r="M44" s="75">
        <f t="shared" si="3"/>
        <v>658135.29259130266</v>
      </c>
      <c r="N44" s="32"/>
      <c r="O44" s="76">
        <f t="shared" si="9"/>
        <v>-553350.88</v>
      </c>
      <c r="P44" s="39">
        <f t="shared" si="9"/>
        <v>41904.362542805487</v>
      </c>
      <c r="Q44" s="88">
        <f t="shared" si="10"/>
        <v>526508.23407304264</v>
      </c>
      <c r="R44" s="87"/>
    </row>
    <row r="45" spans="2:18" x14ac:dyDescent="0.45">
      <c r="B45" s="7"/>
      <c r="C45" s="19">
        <f t="shared" si="11"/>
        <v>44166</v>
      </c>
      <c r="D45" s="26">
        <f t="shared" si="4"/>
        <v>17</v>
      </c>
      <c r="E45" s="34">
        <f t="shared" si="5"/>
        <v>673197.00920715067</v>
      </c>
      <c r="F45" s="43">
        <f t="shared" si="6"/>
        <v>-34584.43</v>
      </c>
      <c r="G45" s="47">
        <f t="shared" si="12"/>
        <v>1833.3920356320393</v>
      </c>
      <c r="H45" s="60">
        <f t="shared" si="7"/>
        <v>640445.97124278266</v>
      </c>
      <c r="J45" s="74">
        <f t="shared" si="1"/>
        <v>17</v>
      </c>
      <c r="K45" s="48">
        <f t="shared" si="8"/>
        <v>658135.29259130266</v>
      </c>
      <c r="L45" s="43">
        <f t="shared" si="13"/>
        <v>-32906.76462956515</v>
      </c>
      <c r="M45" s="75">
        <f t="shared" si="3"/>
        <v>625228.52796173748</v>
      </c>
      <c r="N45" s="32"/>
      <c r="O45" s="76">
        <f t="shared" si="9"/>
        <v>-587935.31000000006</v>
      </c>
      <c r="P45" s="39">
        <f t="shared" si="9"/>
        <v>43737.754578437525</v>
      </c>
      <c r="Q45" s="88">
        <f t="shared" si="10"/>
        <v>559414.99870260782</v>
      </c>
      <c r="R45" s="87"/>
    </row>
    <row r="46" spans="2:18" x14ac:dyDescent="0.45">
      <c r="B46" s="7"/>
      <c r="C46" s="19">
        <f t="shared" si="11"/>
        <v>44197</v>
      </c>
      <c r="D46" s="26">
        <f t="shared" si="4"/>
        <v>18</v>
      </c>
      <c r="E46" s="34">
        <f t="shared" si="5"/>
        <v>640445.97124278266</v>
      </c>
      <c r="F46" s="43">
        <f t="shared" si="6"/>
        <v>-34584.43</v>
      </c>
      <c r="G46" s="47">
        <f t="shared" si="12"/>
        <v>1739.3671226917047</v>
      </c>
      <c r="H46" s="60">
        <f t="shared" si="7"/>
        <v>607600.90836547432</v>
      </c>
      <c r="J46" s="74">
        <f t="shared" si="1"/>
        <v>18</v>
      </c>
      <c r="K46" s="48">
        <f t="shared" si="8"/>
        <v>625228.52796173748</v>
      </c>
      <c r="L46" s="43">
        <f t="shared" si="13"/>
        <v>-32906.76462956515</v>
      </c>
      <c r="M46" s="75">
        <f t="shared" si="3"/>
        <v>592321.7633321723</v>
      </c>
      <c r="N46" s="32"/>
      <c r="O46" s="76">
        <f t="shared" ref="O46:P61" si="14">+O45+F46</f>
        <v>-622519.74000000011</v>
      </c>
      <c r="P46" s="39">
        <f t="shared" si="14"/>
        <v>45477.121701129232</v>
      </c>
      <c r="Q46" s="88">
        <f t="shared" si="10"/>
        <v>592321.763332173</v>
      </c>
      <c r="R46" s="87"/>
    </row>
    <row r="47" spans="2:18" x14ac:dyDescent="0.45">
      <c r="B47" s="7"/>
      <c r="C47" s="19">
        <f t="shared" si="11"/>
        <v>44228</v>
      </c>
      <c r="D47" s="26">
        <f t="shared" si="4"/>
        <v>19</v>
      </c>
      <c r="E47" s="34">
        <f t="shared" si="5"/>
        <v>607600.90836547432</v>
      </c>
      <c r="F47" s="43">
        <f t="shared" si="6"/>
        <v>-34584.43</v>
      </c>
      <c r="G47" s="47">
        <f t="shared" si="12"/>
        <v>1645.0722737492486</v>
      </c>
      <c r="H47" s="60">
        <f t="shared" si="7"/>
        <v>574661.55063922354</v>
      </c>
      <c r="J47" s="74">
        <f t="shared" si="1"/>
        <v>19</v>
      </c>
      <c r="K47" s="48">
        <f t="shared" si="8"/>
        <v>592321.7633321723</v>
      </c>
      <c r="L47" s="43">
        <f t="shared" si="13"/>
        <v>-32906.76462956515</v>
      </c>
      <c r="M47" s="75">
        <f t="shared" si="3"/>
        <v>559414.99870260712</v>
      </c>
      <c r="N47" s="32"/>
      <c r="O47" s="76">
        <f t="shared" si="14"/>
        <v>-657104.17000000016</v>
      </c>
      <c r="P47" s="39">
        <f t="shared" si="14"/>
        <v>47122.193974878479</v>
      </c>
      <c r="Q47" s="88">
        <f t="shared" si="10"/>
        <v>625228.52796173817</v>
      </c>
      <c r="R47" s="87"/>
    </row>
    <row r="48" spans="2:18" x14ac:dyDescent="0.45">
      <c r="B48" s="7"/>
      <c r="C48" s="19">
        <f t="shared" si="11"/>
        <v>44256</v>
      </c>
      <c r="D48" s="26">
        <f t="shared" si="4"/>
        <v>20</v>
      </c>
      <c r="E48" s="34">
        <f t="shared" si="5"/>
        <v>574661.55063922354</v>
      </c>
      <c r="F48" s="43">
        <f t="shared" si="6"/>
        <v>-34584.43</v>
      </c>
      <c r="G48" s="47">
        <f t="shared" si="12"/>
        <v>1550.5067138457478</v>
      </c>
      <c r="H48" s="60">
        <f t="shared" si="7"/>
        <v>541627.62735306926</v>
      </c>
      <c r="J48" s="74">
        <f t="shared" si="1"/>
        <v>20</v>
      </c>
      <c r="K48" s="48">
        <f t="shared" si="8"/>
        <v>559414.99870260712</v>
      </c>
      <c r="L48" s="43">
        <f t="shared" si="13"/>
        <v>-32906.76462956515</v>
      </c>
      <c r="M48" s="75">
        <f t="shared" si="3"/>
        <v>526508.23407304194</v>
      </c>
      <c r="N48" s="32"/>
      <c r="O48" s="76">
        <f t="shared" si="14"/>
        <v>-691688.60000000021</v>
      </c>
      <c r="P48" s="39">
        <f t="shared" si="14"/>
        <v>48672.700688724224</v>
      </c>
      <c r="Q48" s="88">
        <f t="shared" si="10"/>
        <v>658135.29259130335</v>
      </c>
      <c r="R48" s="87"/>
    </row>
    <row r="49" spans="2:18" x14ac:dyDescent="0.45">
      <c r="B49" s="7"/>
      <c r="C49" s="19">
        <f t="shared" si="11"/>
        <v>44287</v>
      </c>
      <c r="D49" s="26">
        <f t="shared" si="4"/>
        <v>21</v>
      </c>
      <c r="E49" s="34">
        <f t="shared" si="5"/>
        <v>541627.62735306926</v>
      </c>
      <c r="F49" s="43">
        <f t="shared" si="6"/>
        <v>-34584.43</v>
      </c>
      <c r="G49" s="47">
        <f t="shared" si="12"/>
        <v>1455.6696657974517</v>
      </c>
      <c r="H49" s="60">
        <f t="shared" si="7"/>
        <v>508498.8670188667</v>
      </c>
      <c r="J49" s="74">
        <f t="shared" si="1"/>
        <v>21</v>
      </c>
      <c r="K49" s="48">
        <f t="shared" si="8"/>
        <v>526508.23407304194</v>
      </c>
      <c r="L49" s="43">
        <f t="shared" si="13"/>
        <v>-32906.76462956515</v>
      </c>
      <c r="M49" s="75">
        <f t="shared" si="3"/>
        <v>493601.46944347676</v>
      </c>
      <c r="N49" s="80"/>
      <c r="O49" s="76">
        <f t="shared" si="14"/>
        <v>-726273.03000000026</v>
      </c>
      <c r="P49" s="39">
        <f t="shared" si="14"/>
        <v>50128.370354521678</v>
      </c>
      <c r="Q49" s="88">
        <f t="shared" si="10"/>
        <v>691042.05722086853</v>
      </c>
      <c r="R49" s="87"/>
    </row>
    <row r="50" spans="2:18" x14ac:dyDescent="0.45">
      <c r="B50" s="7"/>
      <c r="C50" s="19">
        <f t="shared" si="11"/>
        <v>44317</v>
      </c>
      <c r="D50" s="26">
        <f t="shared" si="4"/>
        <v>22</v>
      </c>
      <c r="E50" s="34">
        <f t="shared" si="5"/>
        <v>508498.8670188667</v>
      </c>
      <c r="F50" s="43">
        <f t="shared" si="6"/>
        <v>-34584.43</v>
      </c>
      <c r="G50" s="47">
        <f t="shared" si="12"/>
        <v>1360.5603501893925</v>
      </c>
      <c r="H50" s="60">
        <f t="shared" si="7"/>
        <v>475274.9973690561</v>
      </c>
      <c r="J50" s="74">
        <f t="shared" si="1"/>
        <v>22</v>
      </c>
      <c r="K50" s="48">
        <f t="shared" si="8"/>
        <v>493601.46944347676</v>
      </c>
      <c r="L50" s="43">
        <f t="shared" si="13"/>
        <v>-32906.76462956515</v>
      </c>
      <c r="M50" s="75">
        <f t="shared" si="3"/>
        <v>460694.70481391158</v>
      </c>
      <c r="N50" s="32"/>
      <c r="O50" s="76">
        <f t="shared" si="14"/>
        <v>-760857.46000000031</v>
      </c>
      <c r="P50" s="39">
        <f t="shared" si="14"/>
        <v>51488.930704711071</v>
      </c>
      <c r="Q50" s="88">
        <f t="shared" si="10"/>
        <v>723948.82185043371</v>
      </c>
      <c r="R50" s="32"/>
    </row>
    <row r="51" spans="2:18" x14ac:dyDescent="0.45">
      <c r="B51" s="7"/>
      <c r="C51" s="19">
        <f t="shared" si="11"/>
        <v>44348</v>
      </c>
      <c r="D51" s="26">
        <f t="shared" si="4"/>
        <v>23</v>
      </c>
      <c r="E51" s="34">
        <f t="shared" si="5"/>
        <v>475274.9973690561</v>
      </c>
      <c r="F51" s="43">
        <f t="shared" si="6"/>
        <v>-34584.43</v>
      </c>
      <c r="G51" s="47">
        <f t="shared" si="12"/>
        <v>1265.1779853689818</v>
      </c>
      <c r="H51" s="60">
        <f t="shared" si="7"/>
        <v>441955.7453544251</v>
      </c>
      <c r="J51" s="74">
        <f t="shared" si="1"/>
        <v>23</v>
      </c>
      <c r="K51" s="48">
        <f t="shared" si="8"/>
        <v>460694.70481391158</v>
      </c>
      <c r="L51" s="43">
        <f t="shared" si="13"/>
        <v>-32906.76462956515</v>
      </c>
      <c r="M51" s="75">
        <f t="shared" si="3"/>
        <v>427787.9401843464</v>
      </c>
      <c r="N51" s="32"/>
      <c r="O51" s="76">
        <f t="shared" si="14"/>
        <v>-795441.89000000036</v>
      </c>
      <c r="P51" s="39">
        <f t="shared" si="14"/>
        <v>52754.108690080051</v>
      </c>
      <c r="Q51" s="88">
        <f t="shared" si="10"/>
        <v>756855.58647999889</v>
      </c>
      <c r="R51" s="32"/>
    </row>
    <row r="52" spans="2:18" x14ac:dyDescent="0.45">
      <c r="B52" s="7"/>
      <c r="C52" s="19">
        <f t="shared" si="11"/>
        <v>44378</v>
      </c>
      <c r="D52" s="26">
        <f t="shared" si="4"/>
        <v>24</v>
      </c>
      <c r="E52" s="34">
        <f t="shared" si="5"/>
        <v>441955.7453544251</v>
      </c>
      <c r="F52" s="43">
        <f t="shared" si="6"/>
        <v>-34584.43</v>
      </c>
      <c r="G52" s="47">
        <f t="shared" si="12"/>
        <v>1169.521787439586</v>
      </c>
      <c r="H52" s="60">
        <f t="shared" si="7"/>
        <v>408540.8371418647</v>
      </c>
      <c r="J52" s="74">
        <f t="shared" si="1"/>
        <v>24</v>
      </c>
      <c r="K52" s="48">
        <f t="shared" si="8"/>
        <v>427787.9401843464</v>
      </c>
      <c r="L52" s="43">
        <f t="shared" si="13"/>
        <v>-32906.76462956515</v>
      </c>
      <c r="M52" s="75">
        <f t="shared" si="3"/>
        <v>394881.17555478122</v>
      </c>
      <c r="N52" s="32"/>
      <c r="O52" s="76">
        <f t="shared" si="14"/>
        <v>-830026.32000000041</v>
      </c>
      <c r="P52" s="39">
        <f t="shared" si="14"/>
        <v>53923.63047751964</v>
      </c>
      <c r="Q52" s="88">
        <f t="shared" si="10"/>
        <v>789762.35110956407</v>
      </c>
      <c r="R52" s="32"/>
    </row>
    <row r="53" spans="2:18" x14ac:dyDescent="0.45">
      <c r="B53" s="7"/>
      <c r="C53" s="19">
        <f t="shared" si="11"/>
        <v>44409</v>
      </c>
      <c r="D53" s="26">
        <f t="shared" si="4"/>
        <v>25</v>
      </c>
      <c r="E53" s="34">
        <f t="shared" si="5"/>
        <v>408540.8371418647</v>
      </c>
      <c r="F53" s="43">
        <f t="shared" si="6"/>
        <v>-34584.43</v>
      </c>
      <c r="G53" s="47">
        <f t="shared" si="12"/>
        <v>1073.5909702540828</v>
      </c>
      <c r="H53" s="60">
        <f t="shared" si="7"/>
        <v>375029.9981121188</v>
      </c>
      <c r="J53" s="74">
        <f t="shared" si="1"/>
        <v>25</v>
      </c>
      <c r="K53" s="48">
        <f t="shared" si="8"/>
        <v>394881.17555478122</v>
      </c>
      <c r="L53" s="43">
        <f t="shared" si="13"/>
        <v>-32906.76462956515</v>
      </c>
      <c r="M53" s="75">
        <f t="shared" si="3"/>
        <v>361974.41092521604</v>
      </c>
      <c r="N53" s="32"/>
      <c r="O53" s="76">
        <f t="shared" si="14"/>
        <v>-864610.75000000047</v>
      </c>
      <c r="P53" s="39">
        <f t="shared" si="14"/>
        <v>54997.221447773722</v>
      </c>
      <c r="Q53" s="88">
        <f t="shared" si="10"/>
        <v>822669.11573912925</v>
      </c>
      <c r="R53" s="32"/>
    </row>
    <row r="54" spans="2:18" x14ac:dyDescent="0.45">
      <c r="B54" s="7"/>
      <c r="C54" s="19">
        <f t="shared" si="11"/>
        <v>44440</v>
      </c>
      <c r="D54" s="26">
        <f t="shared" si="4"/>
        <v>26</v>
      </c>
      <c r="E54" s="34">
        <f t="shared" si="5"/>
        <v>375029.9981121188</v>
      </c>
      <c r="F54" s="43">
        <f t="shared" si="6"/>
        <v>-34584.43</v>
      </c>
      <c r="G54" s="47">
        <f t="shared" si="12"/>
        <v>977.38474540840161</v>
      </c>
      <c r="H54" s="60">
        <f t="shared" si="7"/>
        <v>341422.95285752718</v>
      </c>
      <c r="J54" s="74">
        <f t="shared" si="1"/>
        <v>26</v>
      </c>
      <c r="K54" s="48">
        <f t="shared" si="8"/>
        <v>361974.41092521604</v>
      </c>
      <c r="L54" s="43">
        <f t="shared" si="13"/>
        <v>-32906.76462956515</v>
      </c>
      <c r="M54" s="75">
        <f t="shared" si="3"/>
        <v>329067.64629565086</v>
      </c>
      <c r="N54" s="32"/>
      <c r="O54" s="76">
        <f t="shared" si="14"/>
        <v>-899195.18000000052</v>
      </c>
      <c r="P54" s="39">
        <f t="shared" si="14"/>
        <v>55974.606193182124</v>
      </c>
      <c r="Q54" s="88">
        <f t="shared" si="10"/>
        <v>855575.88036869443</v>
      </c>
      <c r="R54" s="32"/>
    </row>
    <row r="55" spans="2:18" x14ac:dyDescent="0.45">
      <c r="B55" s="7"/>
      <c r="C55" s="19">
        <f t="shared" si="11"/>
        <v>44470</v>
      </c>
      <c r="D55" s="26">
        <f t="shared" si="4"/>
        <v>27</v>
      </c>
      <c r="E55" s="34">
        <f t="shared" si="5"/>
        <v>341422.95285752718</v>
      </c>
      <c r="F55" s="43">
        <f t="shared" si="6"/>
        <v>-34584.43</v>
      </c>
      <c r="G55" s="47">
        <f t="shared" si="12"/>
        <v>880.90232223504381</v>
      </c>
      <c r="H55" s="60">
        <f t="shared" si="7"/>
        <v>307719.42517976224</v>
      </c>
      <c r="J55" s="74">
        <f t="shared" si="1"/>
        <v>27</v>
      </c>
      <c r="K55" s="48">
        <f t="shared" si="8"/>
        <v>329067.64629565086</v>
      </c>
      <c r="L55" s="43">
        <f t="shared" si="13"/>
        <v>-32906.76462956515</v>
      </c>
      <c r="M55" s="75">
        <f t="shared" si="3"/>
        <v>296160.88166608568</v>
      </c>
      <c r="N55" s="32"/>
      <c r="O55" s="76">
        <f t="shared" si="14"/>
        <v>-933779.61000000057</v>
      </c>
      <c r="P55" s="39">
        <f t="shared" si="14"/>
        <v>56855.508515417168</v>
      </c>
      <c r="Q55" s="88">
        <f t="shared" si="10"/>
        <v>888482.64499825961</v>
      </c>
      <c r="R55" s="32"/>
    </row>
    <row r="56" spans="2:18" x14ac:dyDescent="0.45">
      <c r="B56" s="7"/>
      <c r="C56" s="19">
        <f t="shared" si="11"/>
        <v>44501</v>
      </c>
      <c r="D56" s="26">
        <f t="shared" si="4"/>
        <v>28</v>
      </c>
      <c r="E56" s="34">
        <f t="shared" si="5"/>
        <v>307719.42517976224</v>
      </c>
      <c r="F56" s="43">
        <f t="shared" si="6"/>
        <v>-34584.43</v>
      </c>
      <c r="G56" s="47">
        <f t="shared" si="12"/>
        <v>784.14290779658427</v>
      </c>
      <c r="H56" s="60">
        <f t="shared" si="7"/>
        <v>273919.13808755885</v>
      </c>
      <c r="J56" s="74">
        <f t="shared" si="1"/>
        <v>28</v>
      </c>
      <c r="K56" s="48">
        <f t="shared" si="8"/>
        <v>296160.88166608568</v>
      </c>
      <c r="L56" s="43">
        <f t="shared" si="13"/>
        <v>-32906.76462956515</v>
      </c>
      <c r="M56" s="75">
        <f t="shared" si="3"/>
        <v>263254.1170365205</v>
      </c>
      <c r="N56" s="32"/>
      <c r="O56" s="76">
        <f t="shared" si="14"/>
        <v>-968364.04000000062</v>
      </c>
      <c r="P56" s="39">
        <f t="shared" si="14"/>
        <v>57639.651423213756</v>
      </c>
      <c r="Q56" s="88">
        <f t="shared" si="10"/>
        <v>921389.40962782479</v>
      </c>
      <c r="R56" s="32"/>
    </row>
    <row r="57" spans="2:18" x14ac:dyDescent="0.45">
      <c r="B57" s="7"/>
      <c r="C57" s="19">
        <f t="shared" si="11"/>
        <v>44531</v>
      </c>
      <c r="D57" s="26">
        <f t="shared" si="4"/>
        <v>29</v>
      </c>
      <c r="E57" s="34">
        <f t="shared" si="5"/>
        <v>273919.13808755885</v>
      </c>
      <c r="F57" s="43">
        <f t="shared" si="6"/>
        <v>-34584.43</v>
      </c>
      <c r="G57" s="47">
        <f t="shared" si="12"/>
        <v>687.10570687915481</v>
      </c>
      <c r="H57" s="60">
        <f t="shared" si="7"/>
        <v>240021.813794438</v>
      </c>
      <c r="J57" s="74">
        <f t="shared" si="1"/>
        <v>29</v>
      </c>
      <c r="K57" s="48">
        <f t="shared" si="8"/>
        <v>263254.1170365205</v>
      </c>
      <c r="L57" s="43">
        <f t="shared" si="13"/>
        <v>-32906.76462956515</v>
      </c>
      <c r="M57" s="75">
        <f t="shared" si="3"/>
        <v>230347.35240695535</v>
      </c>
      <c r="N57" s="32"/>
      <c r="O57" s="76">
        <f t="shared" si="14"/>
        <v>-1002948.4700000007</v>
      </c>
      <c r="P57" s="39">
        <f t="shared" si="14"/>
        <v>58326.757130092912</v>
      </c>
      <c r="Q57" s="88">
        <f t="shared" si="10"/>
        <v>954296.17425738997</v>
      </c>
      <c r="R57" s="32"/>
    </row>
    <row r="58" spans="2:18" x14ac:dyDescent="0.45">
      <c r="B58" s="7"/>
      <c r="C58" s="19">
        <f t="shared" si="11"/>
        <v>44562</v>
      </c>
      <c r="D58" s="26">
        <f t="shared" si="4"/>
        <v>30</v>
      </c>
      <c r="E58" s="34">
        <f t="shared" si="5"/>
        <v>240021.813794438</v>
      </c>
      <c r="F58" s="43">
        <f t="shared" si="6"/>
        <v>-34584.43</v>
      </c>
      <c r="G58" s="47">
        <f t="shared" si="12"/>
        <v>589.78992198590856</v>
      </c>
      <c r="H58" s="60">
        <f t="shared" si="7"/>
        <v>206027.17371642392</v>
      </c>
      <c r="J58" s="74">
        <f t="shared" si="1"/>
        <v>30</v>
      </c>
      <c r="K58" s="48">
        <f t="shared" si="8"/>
        <v>230347.35240695535</v>
      </c>
      <c r="L58" s="43">
        <f t="shared" si="13"/>
        <v>-32906.76462956515</v>
      </c>
      <c r="M58" s="75">
        <f t="shared" si="3"/>
        <v>197440.5877773902</v>
      </c>
      <c r="N58" s="32"/>
      <c r="O58" s="76">
        <f t="shared" si="14"/>
        <v>-1037532.9000000007</v>
      </c>
      <c r="P58" s="39">
        <f t="shared" si="14"/>
        <v>58916.547052078822</v>
      </c>
      <c r="Q58" s="88">
        <f t="shared" si="10"/>
        <v>987202.93888695515</v>
      </c>
      <c r="R58" s="32"/>
    </row>
    <row r="59" spans="2:18" x14ac:dyDescent="0.45">
      <c r="B59" s="7"/>
      <c r="C59" s="19">
        <f t="shared" si="11"/>
        <v>44593</v>
      </c>
      <c r="D59" s="26">
        <f t="shared" si="4"/>
        <v>31</v>
      </c>
      <c r="E59" s="34">
        <f t="shared" si="5"/>
        <v>206027.17371642392</v>
      </c>
      <c r="F59" s="43">
        <f t="shared" si="6"/>
        <v>-34584.43</v>
      </c>
      <c r="G59" s="47">
        <f t="shared" si="12"/>
        <v>492.19475333046648</v>
      </c>
      <c r="H59" s="60">
        <f t="shared" si="7"/>
        <v>171934.93846975439</v>
      </c>
      <c r="J59" s="74">
        <f t="shared" si="1"/>
        <v>31</v>
      </c>
      <c r="K59" s="48">
        <f t="shared" si="8"/>
        <v>197440.5877773902</v>
      </c>
      <c r="L59" s="43">
        <f t="shared" si="13"/>
        <v>-32906.76462956515</v>
      </c>
      <c r="M59" s="75">
        <f t="shared" si="3"/>
        <v>164533.82314782505</v>
      </c>
      <c r="N59" s="32"/>
      <c r="O59" s="76">
        <f t="shared" si="14"/>
        <v>-1072117.3300000008</v>
      </c>
      <c r="P59" s="39">
        <f t="shared" si="14"/>
        <v>59408.741805409285</v>
      </c>
      <c r="Q59" s="88">
        <f t="shared" si="10"/>
        <v>1020109.7035165203</v>
      </c>
      <c r="R59" s="32"/>
    </row>
    <row r="60" spans="2:18" x14ac:dyDescent="0.45">
      <c r="B60" s="7"/>
      <c r="C60" s="19">
        <f t="shared" si="11"/>
        <v>44621</v>
      </c>
      <c r="D60" s="26">
        <f t="shared" si="4"/>
        <v>32</v>
      </c>
      <c r="E60" s="34">
        <f t="shared" si="5"/>
        <v>171934.93846975439</v>
      </c>
      <c r="F60" s="43">
        <f t="shared" si="6"/>
        <v>-34584.43</v>
      </c>
      <c r="G60" s="47">
        <f t="shared" si="12"/>
        <v>394.3193988303434</v>
      </c>
      <c r="H60" s="60">
        <f t="shared" si="7"/>
        <v>137744.82786858475</v>
      </c>
      <c r="J60" s="74">
        <f t="shared" si="1"/>
        <v>32</v>
      </c>
      <c r="K60" s="48">
        <f t="shared" si="8"/>
        <v>164533.82314782505</v>
      </c>
      <c r="L60" s="43">
        <f t="shared" si="13"/>
        <v>-32906.76462956515</v>
      </c>
      <c r="M60" s="75">
        <f t="shared" si="3"/>
        <v>131627.0585182599</v>
      </c>
      <c r="N60" s="32"/>
      <c r="O60" s="76">
        <f t="shared" si="14"/>
        <v>-1106701.7600000007</v>
      </c>
      <c r="P60" s="39">
        <f t="shared" si="14"/>
        <v>59803.061204239631</v>
      </c>
      <c r="Q60" s="88">
        <f t="shared" si="10"/>
        <v>1053016.4681460855</v>
      </c>
      <c r="R60" s="32"/>
    </row>
    <row r="61" spans="2:18" x14ac:dyDescent="0.45">
      <c r="B61" s="7"/>
      <c r="C61" s="19">
        <f t="shared" si="11"/>
        <v>44652</v>
      </c>
      <c r="D61" s="26">
        <f t="shared" si="4"/>
        <v>33</v>
      </c>
      <c r="E61" s="34">
        <f t="shared" si="5"/>
        <v>137744.82786858475</v>
      </c>
      <c r="F61" s="43">
        <f t="shared" si="6"/>
        <v>-34584.43</v>
      </c>
      <c r="G61" s="47">
        <f t="shared" si="12"/>
        <v>296.16305410035676</v>
      </c>
      <c r="H61" s="60">
        <f t="shared" si="7"/>
        <v>103456.56092268511</v>
      </c>
      <c r="J61" s="74">
        <f t="shared" si="1"/>
        <v>33</v>
      </c>
      <c r="K61" s="48">
        <f t="shared" si="8"/>
        <v>131627.0585182599</v>
      </c>
      <c r="L61" s="43">
        <f t="shared" si="13"/>
        <v>-32906.76462956515</v>
      </c>
      <c r="M61" s="75">
        <f t="shared" si="3"/>
        <v>98720.293888694752</v>
      </c>
      <c r="N61" s="32"/>
      <c r="O61" s="76">
        <f t="shared" si="14"/>
        <v>-1141286.1900000006</v>
      </c>
      <c r="P61" s="39">
        <f t="shared" si="14"/>
        <v>60099.224258339986</v>
      </c>
      <c r="Q61" s="88">
        <f t="shared" si="10"/>
        <v>1085923.2327756507</v>
      </c>
      <c r="R61" s="32"/>
    </row>
    <row r="62" spans="2:18" x14ac:dyDescent="0.45">
      <c r="B62" s="7"/>
      <c r="C62" s="19">
        <f t="shared" si="11"/>
        <v>44682</v>
      </c>
      <c r="D62" s="26">
        <f t="shared" si="4"/>
        <v>34</v>
      </c>
      <c r="E62" s="34">
        <f t="shared" si="5"/>
        <v>103456.56092268511</v>
      </c>
      <c r="F62" s="43">
        <f t="shared" si="6"/>
        <v>-34584.43</v>
      </c>
      <c r="G62" s="47">
        <f t="shared" si="12"/>
        <v>197.72491244601551</v>
      </c>
      <c r="H62" s="60">
        <f t="shared" si="7"/>
        <v>69069.855835131137</v>
      </c>
      <c r="J62" s="74">
        <f t="shared" si="1"/>
        <v>34</v>
      </c>
      <c r="K62" s="48">
        <f t="shared" si="8"/>
        <v>98720.293888694752</v>
      </c>
      <c r="L62" s="43">
        <f t="shared" si="13"/>
        <v>-32906.76462956515</v>
      </c>
      <c r="M62" s="75">
        <f t="shared" si="3"/>
        <v>65813.529259129602</v>
      </c>
      <c r="N62" s="32"/>
      <c r="O62" s="76">
        <f t="shared" ref="O62:P64" si="15">+O61+F62</f>
        <v>-1175870.6200000006</v>
      </c>
      <c r="P62" s="39">
        <f t="shared" si="15"/>
        <v>60296.949170786</v>
      </c>
      <c r="Q62" s="88">
        <f t="shared" si="10"/>
        <v>1118829.9974052159</v>
      </c>
      <c r="R62" s="32"/>
    </row>
    <row r="63" spans="2:18" x14ac:dyDescent="0.45">
      <c r="B63" s="7"/>
      <c r="C63" s="19">
        <f t="shared" si="11"/>
        <v>44713</v>
      </c>
      <c r="D63" s="26">
        <f t="shared" si="4"/>
        <v>35</v>
      </c>
      <c r="E63" s="34">
        <f t="shared" si="5"/>
        <v>69069.855835131137</v>
      </c>
      <c r="F63" s="43">
        <f t="shared" si="6"/>
        <v>-34584.43</v>
      </c>
      <c r="G63" s="47">
        <f t="shared" si="12"/>
        <v>99.004164856890526</v>
      </c>
      <c r="H63" s="60">
        <f t="shared" si="7"/>
        <v>34584.429999988024</v>
      </c>
      <c r="J63" s="74">
        <f t="shared" si="1"/>
        <v>35</v>
      </c>
      <c r="K63" s="48">
        <f t="shared" si="8"/>
        <v>65813.529259129602</v>
      </c>
      <c r="L63" s="43">
        <f t="shared" si="13"/>
        <v>-32906.76462956515</v>
      </c>
      <c r="M63" s="75">
        <f t="shared" si="3"/>
        <v>32906.764629564452</v>
      </c>
      <c r="N63" s="32"/>
      <c r="O63" s="76">
        <f t="shared" si="15"/>
        <v>-1210455.0500000005</v>
      </c>
      <c r="P63" s="39">
        <f t="shared" si="15"/>
        <v>60395.953335642887</v>
      </c>
      <c r="Q63" s="88">
        <f t="shared" si="10"/>
        <v>1151736.762034781</v>
      </c>
      <c r="R63" s="32"/>
    </row>
    <row r="64" spans="2:18" x14ac:dyDescent="0.45">
      <c r="B64" s="7"/>
      <c r="C64" s="19">
        <f t="shared" si="11"/>
        <v>44743</v>
      </c>
      <c r="D64" s="26">
        <f t="shared" si="4"/>
        <v>36</v>
      </c>
      <c r="E64" s="34">
        <f t="shared" si="5"/>
        <v>34584.429999988024</v>
      </c>
      <c r="F64" s="43">
        <f t="shared" si="6"/>
        <v>-34584.43</v>
      </c>
      <c r="G64" s="47">
        <f t="shared" si="12"/>
        <v>-3.4382532551536519E-11</v>
      </c>
      <c r="H64" s="60">
        <f t="shared" si="7"/>
        <v>-1.2010608765497455E-8</v>
      </c>
      <c r="J64" s="74">
        <f t="shared" si="1"/>
        <v>36</v>
      </c>
      <c r="K64" s="48">
        <f t="shared" si="8"/>
        <v>32906.764629564452</v>
      </c>
      <c r="L64" s="43">
        <f t="shared" si="13"/>
        <v>-32906.76462956515</v>
      </c>
      <c r="M64" s="75">
        <f t="shared" si="3"/>
        <v>-6.9849193096160889E-10</v>
      </c>
      <c r="N64" s="32"/>
      <c r="O64" s="76">
        <f t="shared" si="15"/>
        <v>-1245039.4800000004</v>
      </c>
      <c r="P64" s="39">
        <f t="shared" si="15"/>
        <v>60395.953335642851</v>
      </c>
      <c r="Q64" s="88">
        <f t="shared" si="10"/>
        <v>1184643.5266643462</v>
      </c>
      <c r="R64" s="32"/>
    </row>
    <row r="65" spans="2:18" x14ac:dyDescent="0.45">
      <c r="B65" s="7"/>
      <c r="C65" s="19">
        <f t="shared" si="11"/>
        <v>44774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89"/>
      <c r="P65" s="8"/>
      <c r="Q65" s="90"/>
      <c r="R65" s="32"/>
    </row>
    <row r="66" spans="2:18" x14ac:dyDescent="0.45">
      <c r="B66" s="7"/>
      <c r="C66" s="19">
        <f t="shared" si="11"/>
        <v>44805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89"/>
      <c r="P66" s="8"/>
      <c r="Q66" s="90"/>
      <c r="R66" s="32"/>
    </row>
    <row r="67" spans="2:18" x14ac:dyDescent="0.45">
      <c r="B67" s="7"/>
      <c r="C67" s="19">
        <f t="shared" si="11"/>
        <v>44835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89"/>
      <c r="P67" s="8"/>
      <c r="Q67" s="90"/>
      <c r="R67" s="32"/>
    </row>
    <row r="68" spans="2:18" x14ac:dyDescent="0.45">
      <c r="B68" s="7"/>
      <c r="C68" s="19">
        <f t="shared" si="11"/>
        <v>44866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44896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44927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44958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44986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45017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45047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45078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45108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45139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45170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45200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45231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45261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45292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45323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45352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45383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45413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45444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45474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45505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45536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45566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45597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45627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45658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6">DATE(YEAR(C94),MONTH(C94)+1,DAY(C94))</f>
        <v>45689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6"/>
        <v>45717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6"/>
        <v>45748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6"/>
        <v>45778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6"/>
        <v>45809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6"/>
        <v>45839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6"/>
        <v>45870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6"/>
        <v>45901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6"/>
        <v>45931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6"/>
        <v>45962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6"/>
        <v>45992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6"/>
        <v>46023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6"/>
        <v>46054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-1.2107193470001221E-8</v>
      </c>
      <c r="F110" s="43">
        <f>SUM(F29:F107)</f>
        <v>-1245039.4800000004</v>
      </c>
      <c r="G110" s="43">
        <f>SUM(G29:G107)</f>
        <v>60395.953335642851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625228.52796173748</v>
      </c>
      <c r="G116" s="119">
        <f>INDEX(M:M,MATCH(DATE(2021,12,DAY(D10)),C:C))</f>
        <v>230347.35240695535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-400424.15744834457</v>
      </c>
      <c r="G119" s="113">
        <f ca="1">IFERROR(SUM(INDIRECT("F"&amp;MATCH(DATE(2022,1,DAY(D10)),C:C)):INDIRECT("G"&amp;MATCH(DATE(2022,1,DAY(D10)),C:C)+11)),VALUE("0"))</f>
        <v>-240021.81379445005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-240021.81379445005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-242091.00999999998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C839B-3E8B-42CB-A2D7-7AD8D2A086EF}">
  <dimension ref="B1:R130"/>
  <sheetViews>
    <sheetView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89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20835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43617</v>
      </c>
      <c r="E10" s="12">
        <f>VLOOKUP($C$2,'Lease Summary'!D:H,4,FALSE)</f>
        <v>44804</v>
      </c>
      <c r="F10">
        <f>DATEDIF(D10,E10,"m")+1</f>
        <v>39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Option stated but with no amount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39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9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3.25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20835</v>
      </c>
      <c r="G22" s="7" t="s">
        <v>229</v>
      </c>
      <c r="H22" s="53">
        <f>-PV(F16,F12,F22,0,1)</f>
        <v>769889.83528585173</v>
      </c>
      <c r="J22" s="17" t="s">
        <v>234</v>
      </c>
      <c r="K22" s="22"/>
      <c r="L22" s="7"/>
      <c r="M22" s="65">
        <f>H22</f>
        <v>769889.83528585173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43617</v>
      </c>
      <c r="D29" s="27">
        <v>1</v>
      </c>
      <c r="E29" s="33">
        <f>H22</f>
        <v>769889.83528585173</v>
      </c>
      <c r="F29" s="42">
        <f>-D7</f>
        <v>-20835</v>
      </c>
      <c r="G29" s="46">
        <f t="shared" ref="G29:G40" si="0">((E29+F29)*($F$16))</f>
        <v>2150.4605671403169</v>
      </c>
      <c r="H29" s="59">
        <f>SUM(E29:G29)</f>
        <v>751205.2958529921</v>
      </c>
      <c r="J29" s="69">
        <f t="shared" ref="J29:J64" si="1">D29</f>
        <v>1</v>
      </c>
      <c r="K29" s="70">
        <f>M22</f>
        <v>769889.83528585173</v>
      </c>
      <c r="L29" s="42">
        <f t="shared" ref="L29:L40" si="2">-$M$22/$F$12</f>
        <v>-19740.76500732953</v>
      </c>
      <c r="M29" s="71">
        <f t="shared" ref="M29:M64" si="3">K29+L29</f>
        <v>750149.07027852221</v>
      </c>
      <c r="N29" s="32"/>
      <c r="O29" s="72">
        <f>+F29</f>
        <v>-20835</v>
      </c>
      <c r="P29" s="73">
        <f>+G29</f>
        <v>2150.4605671403169</v>
      </c>
      <c r="Q29" s="71">
        <f>-L29</f>
        <v>19740.76500732953</v>
      </c>
      <c r="R29" s="85"/>
    </row>
    <row r="30" spans="2:18" x14ac:dyDescent="0.45">
      <c r="B30" s="7"/>
      <c r="C30" s="19">
        <f>DATE(YEAR(C29),MONTH(C29)+1,DAY(C29))</f>
        <v>43647</v>
      </c>
      <c r="D30" s="26">
        <f t="shared" ref="D30:D67" si="4">D29+1</f>
        <v>2</v>
      </c>
      <c r="E30" s="34">
        <f t="shared" ref="E30:E64" si="5">H29</f>
        <v>751205.2958529921</v>
      </c>
      <c r="F30" s="43">
        <f t="shared" ref="F30:F67" si="6">F29</f>
        <v>-20835</v>
      </c>
      <c r="G30" s="47">
        <f t="shared" si="0"/>
        <v>2096.819146815983</v>
      </c>
      <c r="H30" s="60">
        <f t="shared" ref="H30:H64" si="7">SUM(E30:G30)</f>
        <v>732467.11499980814</v>
      </c>
      <c r="J30" s="74">
        <f t="shared" si="1"/>
        <v>2</v>
      </c>
      <c r="K30" s="48">
        <f t="shared" ref="K30:K64" si="8">M29</f>
        <v>750149.07027852221</v>
      </c>
      <c r="L30" s="43">
        <f t="shared" si="2"/>
        <v>-19740.76500732953</v>
      </c>
      <c r="M30" s="75">
        <f t="shared" si="3"/>
        <v>730408.30527119269</v>
      </c>
      <c r="N30" s="32"/>
      <c r="O30" s="76">
        <f t="shared" ref="O30:P45" si="9">+O29+F30</f>
        <v>-41670</v>
      </c>
      <c r="P30" s="77">
        <f t="shared" si="9"/>
        <v>4247.2797139562999</v>
      </c>
      <c r="Q30" s="75">
        <f t="shared" ref="Q30:Q64" si="10">+Q29-L30</f>
        <v>39481.53001465906</v>
      </c>
      <c r="R30" s="86"/>
    </row>
    <row r="31" spans="2:18" x14ac:dyDescent="0.45">
      <c r="B31" s="7"/>
      <c r="C31" s="19">
        <f t="shared" ref="C31:C94" si="11">DATE(YEAR(C30),MONTH(C30)+1,DAY(C30))</f>
        <v>43678</v>
      </c>
      <c r="D31" s="26">
        <f t="shared" si="4"/>
        <v>3</v>
      </c>
      <c r="E31" s="34">
        <f t="shared" si="5"/>
        <v>732467.11499980814</v>
      </c>
      <c r="F31" s="43">
        <f t="shared" si="6"/>
        <v>-20835</v>
      </c>
      <c r="G31" s="47">
        <f t="shared" si="0"/>
        <v>2043.0237274067508</v>
      </c>
      <c r="H31" s="60">
        <f t="shared" si="7"/>
        <v>713675.13872721489</v>
      </c>
      <c r="J31" s="74">
        <f t="shared" si="1"/>
        <v>3</v>
      </c>
      <c r="K31" s="48">
        <f t="shared" si="8"/>
        <v>730408.30527119269</v>
      </c>
      <c r="L31" s="43">
        <f t="shared" si="2"/>
        <v>-19740.76500732953</v>
      </c>
      <c r="M31" s="75">
        <f t="shared" si="3"/>
        <v>710667.54026386316</v>
      </c>
      <c r="N31" s="32"/>
      <c r="O31" s="76">
        <f t="shared" si="9"/>
        <v>-62505</v>
      </c>
      <c r="P31" s="39">
        <f t="shared" si="9"/>
        <v>6290.3034413630503</v>
      </c>
      <c r="Q31" s="88">
        <f t="shared" si="10"/>
        <v>59222.29502198859</v>
      </c>
      <c r="R31" s="86"/>
    </row>
    <row r="32" spans="2:18" x14ac:dyDescent="0.45">
      <c r="B32" s="7"/>
      <c r="C32" s="19">
        <f t="shared" si="11"/>
        <v>43709</v>
      </c>
      <c r="D32" s="26">
        <f t="shared" si="4"/>
        <v>4</v>
      </c>
      <c r="E32" s="34">
        <f t="shared" si="5"/>
        <v>713675.13872721489</v>
      </c>
      <c r="F32" s="43">
        <f t="shared" si="6"/>
        <v>-20835</v>
      </c>
      <c r="G32" s="47">
        <f t="shared" si="0"/>
        <v>1989.0738667968442</v>
      </c>
      <c r="H32" s="60">
        <f t="shared" si="7"/>
        <v>694829.21259401168</v>
      </c>
      <c r="J32" s="74">
        <f t="shared" si="1"/>
        <v>4</v>
      </c>
      <c r="K32" s="48">
        <f t="shared" si="8"/>
        <v>710667.54026386316</v>
      </c>
      <c r="L32" s="43">
        <f t="shared" si="2"/>
        <v>-19740.76500732953</v>
      </c>
      <c r="M32" s="75">
        <f t="shared" si="3"/>
        <v>690926.77525653364</v>
      </c>
      <c r="N32" s="32"/>
      <c r="O32" s="76">
        <f t="shared" si="9"/>
        <v>-83340</v>
      </c>
      <c r="P32" s="39">
        <f t="shared" si="9"/>
        <v>8279.3773081598938</v>
      </c>
      <c r="Q32" s="88">
        <f t="shared" si="10"/>
        <v>78963.06002931812</v>
      </c>
      <c r="R32" s="86"/>
    </row>
    <row r="33" spans="2:18" x14ac:dyDescent="0.45">
      <c r="B33" s="7"/>
      <c r="C33" s="19">
        <f t="shared" si="11"/>
        <v>43739</v>
      </c>
      <c r="D33" s="26">
        <f t="shared" si="4"/>
        <v>5</v>
      </c>
      <c r="E33" s="34">
        <f t="shared" si="5"/>
        <v>694829.21259401168</v>
      </c>
      <c r="F33" s="43">
        <f t="shared" si="6"/>
        <v>-20835</v>
      </c>
      <c r="G33" s="47">
        <f t="shared" si="0"/>
        <v>1934.9691216012181</v>
      </c>
      <c r="H33" s="60">
        <f t="shared" si="7"/>
        <v>675929.18171561288</v>
      </c>
      <c r="J33" s="74">
        <f t="shared" si="1"/>
        <v>5</v>
      </c>
      <c r="K33" s="48">
        <f t="shared" si="8"/>
        <v>690926.77525653364</v>
      </c>
      <c r="L33" s="43">
        <f t="shared" si="2"/>
        <v>-19740.76500732953</v>
      </c>
      <c r="M33" s="75">
        <f t="shared" si="3"/>
        <v>671186.01024920412</v>
      </c>
      <c r="N33" s="32"/>
      <c r="O33" s="76">
        <f t="shared" si="9"/>
        <v>-104175</v>
      </c>
      <c r="P33" s="39">
        <f t="shared" si="9"/>
        <v>10214.346429761112</v>
      </c>
      <c r="Q33" s="88">
        <f t="shared" si="10"/>
        <v>98703.825036647642</v>
      </c>
      <c r="R33" s="86"/>
    </row>
    <row r="34" spans="2:18" x14ac:dyDescent="0.45">
      <c r="B34" s="7"/>
      <c r="C34" s="19">
        <f t="shared" si="11"/>
        <v>43770</v>
      </c>
      <c r="D34" s="26">
        <f t="shared" si="4"/>
        <v>6</v>
      </c>
      <c r="E34" s="34">
        <f t="shared" si="5"/>
        <v>675929.18171561288</v>
      </c>
      <c r="F34" s="43">
        <f t="shared" si="6"/>
        <v>-20835</v>
      </c>
      <c r="G34" s="47">
        <f t="shared" si="0"/>
        <v>1880.709047161914</v>
      </c>
      <c r="H34" s="60">
        <f t="shared" si="7"/>
        <v>656974.89076277474</v>
      </c>
      <c r="J34" s="74">
        <f t="shared" si="1"/>
        <v>6</v>
      </c>
      <c r="K34" s="48">
        <f t="shared" si="8"/>
        <v>671186.01024920412</v>
      </c>
      <c r="L34" s="43">
        <f t="shared" si="2"/>
        <v>-19740.76500732953</v>
      </c>
      <c r="M34" s="75">
        <f t="shared" si="3"/>
        <v>651445.2452418746</v>
      </c>
      <c r="N34" s="32"/>
      <c r="O34" s="76">
        <f t="shared" si="9"/>
        <v>-125010</v>
      </c>
      <c r="P34" s="39">
        <f t="shared" si="9"/>
        <v>12095.055476923026</v>
      </c>
      <c r="Q34" s="88">
        <f t="shared" si="10"/>
        <v>118444.59004397716</v>
      </c>
      <c r="R34" s="86"/>
    </row>
    <row r="35" spans="2:18" x14ac:dyDescent="0.45">
      <c r="B35" s="7"/>
      <c r="C35" s="19">
        <f t="shared" si="11"/>
        <v>43800</v>
      </c>
      <c r="D35" s="26">
        <f t="shared" si="4"/>
        <v>7</v>
      </c>
      <c r="E35" s="34">
        <f t="shared" si="5"/>
        <v>656974.89076277474</v>
      </c>
      <c r="F35" s="43">
        <f t="shared" si="6"/>
        <v>-20835</v>
      </c>
      <c r="G35" s="47">
        <f t="shared" si="0"/>
        <v>1826.2931975444051</v>
      </c>
      <c r="H35" s="60">
        <f t="shared" si="7"/>
        <v>637966.18396031915</v>
      </c>
      <c r="J35" s="74">
        <f t="shared" si="1"/>
        <v>7</v>
      </c>
      <c r="K35" s="48">
        <f t="shared" si="8"/>
        <v>651445.2452418746</v>
      </c>
      <c r="L35" s="43">
        <f t="shared" si="2"/>
        <v>-19740.76500732953</v>
      </c>
      <c r="M35" s="75">
        <f t="shared" si="3"/>
        <v>631704.48023454507</v>
      </c>
      <c r="N35" s="32"/>
      <c r="O35" s="76">
        <f t="shared" si="9"/>
        <v>-145845</v>
      </c>
      <c r="P35" s="39">
        <f t="shared" si="9"/>
        <v>13921.34867446743</v>
      </c>
      <c r="Q35" s="88">
        <f t="shared" si="10"/>
        <v>138185.35505130669</v>
      </c>
      <c r="R35" s="86"/>
    </row>
    <row r="36" spans="2:18" x14ac:dyDescent="0.45">
      <c r="B36" s="7"/>
      <c r="C36" s="19">
        <f t="shared" si="11"/>
        <v>43831</v>
      </c>
      <c r="D36" s="26">
        <f t="shared" si="4"/>
        <v>8</v>
      </c>
      <c r="E36" s="34">
        <f t="shared" si="5"/>
        <v>637966.18396031915</v>
      </c>
      <c r="F36" s="43">
        <f t="shared" si="6"/>
        <v>-20835</v>
      </c>
      <c r="G36" s="47">
        <f t="shared" si="0"/>
        <v>1771.7211255339319</v>
      </c>
      <c r="H36" s="60">
        <f t="shared" si="7"/>
        <v>618902.90508585307</v>
      </c>
      <c r="J36" s="74">
        <f t="shared" si="1"/>
        <v>8</v>
      </c>
      <c r="K36" s="48">
        <f t="shared" si="8"/>
        <v>631704.48023454507</v>
      </c>
      <c r="L36" s="43">
        <f t="shared" si="2"/>
        <v>-19740.76500732953</v>
      </c>
      <c r="M36" s="75">
        <f t="shared" si="3"/>
        <v>611963.71522721555</v>
      </c>
      <c r="N36" s="32"/>
      <c r="O36" s="76">
        <f t="shared" si="9"/>
        <v>-166680</v>
      </c>
      <c r="P36" s="39">
        <f t="shared" si="9"/>
        <v>15693.069800001362</v>
      </c>
      <c r="Q36" s="88">
        <f t="shared" si="10"/>
        <v>157926.12005863621</v>
      </c>
      <c r="R36" s="86"/>
    </row>
    <row r="37" spans="2:18" x14ac:dyDescent="0.45">
      <c r="B37" s="7"/>
      <c r="C37" s="19">
        <f t="shared" si="11"/>
        <v>43862</v>
      </c>
      <c r="D37" s="26">
        <f t="shared" si="4"/>
        <v>9</v>
      </c>
      <c r="E37" s="34">
        <f t="shared" si="5"/>
        <v>618902.90508585307</v>
      </c>
      <c r="F37" s="43">
        <f t="shared" si="6"/>
        <v>-20835</v>
      </c>
      <c r="G37" s="47">
        <f t="shared" si="0"/>
        <v>1716.9923826318263</v>
      </c>
      <c r="H37" s="60">
        <f t="shared" si="7"/>
        <v>599784.89746848494</v>
      </c>
      <c r="J37" s="74">
        <f t="shared" si="1"/>
        <v>9</v>
      </c>
      <c r="K37" s="48">
        <f t="shared" si="8"/>
        <v>611963.71522721555</v>
      </c>
      <c r="L37" s="43">
        <f t="shared" si="2"/>
        <v>-19740.76500732953</v>
      </c>
      <c r="M37" s="75">
        <f t="shared" si="3"/>
        <v>592222.95021988603</v>
      </c>
      <c r="N37" s="32"/>
      <c r="O37" s="76">
        <f t="shared" si="9"/>
        <v>-187515</v>
      </c>
      <c r="P37" s="39">
        <f t="shared" si="9"/>
        <v>17410.062182633188</v>
      </c>
      <c r="Q37" s="88">
        <f t="shared" si="10"/>
        <v>177666.88506596573</v>
      </c>
      <c r="R37" s="86"/>
    </row>
    <row r="38" spans="2:18" x14ac:dyDescent="0.45">
      <c r="B38" s="7"/>
      <c r="C38" s="19">
        <f t="shared" si="11"/>
        <v>43891</v>
      </c>
      <c r="D38" s="26">
        <f t="shared" si="4"/>
        <v>10</v>
      </c>
      <c r="E38" s="34">
        <f t="shared" si="5"/>
        <v>599784.89746848494</v>
      </c>
      <c r="F38" s="43">
        <f t="shared" si="6"/>
        <v>-20835</v>
      </c>
      <c r="G38" s="47">
        <f t="shared" si="0"/>
        <v>1662.1065190518268</v>
      </c>
      <c r="H38" s="60">
        <f t="shared" si="7"/>
        <v>580612.00398753677</v>
      </c>
      <c r="J38" s="74">
        <f t="shared" si="1"/>
        <v>10</v>
      </c>
      <c r="K38" s="48">
        <f t="shared" si="8"/>
        <v>592222.95021988603</v>
      </c>
      <c r="L38" s="43">
        <f t="shared" si="2"/>
        <v>-19740.76500732953</v>
      </c>
      <c r="M38" s="75">
        <f t="shared" si="3"/>
        <v>572482.18521255651</v>
      </c>
      <c r="N38" s="32"/>
      <c r="O38" s="76">
        <f t="shared" si="9"/>
        <v>-208350</v>
      </c>
      <c r="P38" s="39">
        <f t="shared" si="9"/>
        <v>19072.168701685016</v>
      </c>
      <c r="Q38" s="88">
        <f t="shared" si="10"/>
        <v>197407.65007329526</v>
      </c>
      <c r="R38" s="87"/>
    </row>
    <row r="39" spans="2:18" x14ac:dyDescent="0.45">
      <c r="B39" s="7"/>
      <c r="C39" s="19">
        <f t="shared" si="11"/>
        <v>43922</v>
      </c>
      <c r="D39" s="26">
        <f t="shared" si="4"/>
        <v>11</v>
      </c>
      <c r="E39" s="34">
        <f t="shared" si="5"/>
        <v>580612.00398753677</v>
      </c>
      <c r="F39" s="43">
        <f t="shared" si="6"/>
        <v>-20835</v>
      </c>
      <c r="G39" s="47">
        <f t="shared" si="0"/>
        <v>1607.0630837163797</v>
      </c>
      <c r="H39" s="60">
        <f t="shared" si="7"/>
        <v>561384.0670712532</v>
      </c>
      <c r="J39" s="74">
        <f t="shared" si="1"/>
        <v>11</v>
      </c>
      <c r="K39" s="48">
        <f t="shared" si="8"/>
        <v>572482.18521255651</v>
      </c>
      <c r="L39" s="43">
        <f t="shared" si="2"/>
        <v>-19740.76500732953</v>
      </c>
      <c r="M39" s="75">
        <f t="shared" si="3"/>
        <v>552741.42020522698</v>
      </c>
      <c r="N39" s="32"/>
      <c r="O39" s="76">
        <f t="shared" si="9"/>
        <v>-229185</v>
      </c>
      <c r="P39" s="39">
        <f t="shared" si="9"/>
        <v>20679.231785401396</v>
      </c>
      <c r="Q39" s="88">
        <f t="shared" si="10"/>
        <v>217148.41508062478</v>
      </c>
      <c r="R39" s="87"/>
    </row>
    <row r="40" spans="2:18" x14ac:dyDescent="0.45">
      <c r="B40" s="7"/>
      <c r="C40" s="19">
        <f t="shared" si="11"/>
        <v>43952</v>
      </c>
      <c r="D40" s="26">
        <f t="shared" si="4"/>
        <v>12</v>
      </c>
      <c r="E40" s="34">
        <f t="shared" si="5"/>
        <v>561384.0670712532</v>
      </c>
      <c r="F40" s="43">
        <f t="shared" si="6"/>
        <v>-20835</v>
      </c>
      <c r="G40" s="47">
        <f t="shared" si="0"/>
        <v>1551.8616242529347</v>
      </c>
      <c r="H40" s="60">
        <f t="shared" si="7"/>
        <v>542100.92869550618</v>
      </c>
      <c r="J40" s="74">
        <f t="shared" si="1"/>
        <v>12</v>
      </c>
      <c r="K40" s="48">
        <f t="shared" si="8"/>
        <v>552741.42020522698</v>
      </c>
      <c r="L40" s="43">
        <f t="shared" si="2"/>
        <v>-19740.76500732953</v>
      </c>
      <c r="M40" s="75">
        <f t="shared" si="3"/>
        <v>533000.65519789746</v>
      </c>
      <c r="N40" s="32"/>
      <c r="O40" s="76">
        <f t="shared" si="9"/>
        <v>-250020</v>
      </c>
      <c r="P40" s="39">
        <f t="shared" si="9"/>
        <v>22231.093409654331</v>
      </c>
      <c r="Q40" s="88">
        <f t="shared" si="10"/>
        <v>236889.1800879543</v>
      </c>
      <c r="R40" s="87"/>
    </row>
    <row r="41" spans="2:18" x14ac:dyDescent="0.45">
      <c r="B41" s="7"/>
      <c r="C41" s="19">
        <f t="shared" si="11"/>
        <v>43983</v>
      </c>
      <c r="D41" s="26">
        <f t="shared" si="4"/>
        <v>13</v>
      </c>
      <c r="E41" s="34">
        <f t="shared" si="5"/>
        <v>542100.92869550618</v>
      </c>
      <c r="F41" s="43">
        <f t="shared" si="6"/>
        <v>-20835</v>
      </c>
      <c r="G41" s="47">
        <f t="shared" ref="G41:G64" si="12">((E41+F41)*($F$16))</f>
        <v>1496.5016869902249</v>
      </c>
      <c r="H41" s="60">
        <f t="shared" si="7"/>
        <v>522762.43038249639</v>
      </c>
      <c r="J41" s="74">
        <f t="shared" si="1"/>
        <v>13</v>
      </c>
      <c r="K41" s="48">
        <f t="shared" si="8"/>
        <v>533000.65519789746</v>
      </c>
      <c r="L41" s="43">
        <f t="shared" ref="L41:L67" si="13">-$M$22/$F$12</f>
        <v>-19740.76500732953</v>
      </c>
      <c r="M41" s="75">
        <f t="shared" si="3"/>
        <v>513259.89019056794</v>
      </c>
      <c r="N41" s="32"/>
      <c r="O41" s="76">
        <f t="shared" si="9"/>
        <v>-270855</v>
      </c>
      <c r="P41" s="39">
        <f t="shared" si="9"/>
        <v>23727.595096644556</v>
      </c>
      <c r="Q41" s="88">
        <f t="shared" si="10"/>
        <v>256629.94509528382</v>
      </c>
      <c r="R41" s="87"/>
    </row>
    <row r="42" spans="2:18" x14ac:dyDescent="0.45">
      <c r="B42" s="7"/>
      <c r="C42" s="19">
        <f t="shared" si="11"/>
        <v>44013</v>
      </c>
      <c r="D42" s="26">
        <f t="shared" si="4"/>
        <v>14</v>
      </c>
      <c r="E42" s="34">
        <f t="shared" si="5"/>
        <v>522762.43038249639</v>
      </c>
      <c r="F42" s="43">
        <f t="shared" si="6"/>
        <v>-20835</v>
      </c>
      <c r="G42" s="47">
        <f t="shared" si="12"/>
        <v>1440.9828169545394</v>
      </c>
      <c r="H42" s="60">
        <f t="shared" si="7"/>
        <v>503368.41319945094</v>
      </c>
      <c r="J42" s="74">
        <f t="shared" si="1"/>
        <v>14</v>
      </c>
      <c r="K42" s="48">
        <f t="shared" si="8"/>
        <v>513259.89019056794</v>
      </c>
      <c r="L42" s="43">
        <f t="shared" si="13"/>
        <v>-19740.76500732953</v>
      </c>
      <c r="M42" s="75">
        <f t="shared" si="3"/>
        <v>493519.12518323842</v>
      </c>
      <c r="N42" s="32"/>
      <c r="O42" s="76">
        <f t="shared" si="9"/>
        <v>-291690</v>
      </c>
      <c r="P42" s="39">
        <f t="shared" si="9"/>
        <v>25168.577913599096</v>
      </c>
      <c r="Q42" s="88">
        <f t="shared" si="10"/>
        <v>276370.71010261338</v>
      </c>
      <c r="R42" s="87"/>
    </row>
    <row r="43" spans="2:18" x14ac:dyDescent="0.45">
      <c r="B43" s="7"/>
      <c r="C43" s="19">
        <f t="shared" si="11"/>
        <v>44044</v>
      </c>
      <c r="D43" s="26">
        <f t="shared" si="4"/>
        <v>15</v>
      </c>
      <c r="E43" s="34">
        <f t="shared" si="5"/>
        <v>503368.41319945094</v>
      </c>
      <c r="F43" s="43">
        <f t="shared" si="6"/>
        <v>-20835</v>
      </c>
      <c r="G43" s="47">
        <f t="shared" si="12"/>
        <v>1385.3045578659837</v>
      </c>
      <c r="H43" s="60">
        <f t="shared" si="7"/>
        <v>483918.71775731695</v>
      </c>
      <c r="J43" s="74">
        <f t="shared" si="1"/>
        <v>15</v>
      </c>
      <c r="K43" s="48">
        <f t="shared" si="8"/>
        <v>493519.12518323842</v>
      </c>
      <c r="L43" s="43">
        <f t="shared" si="13"/>
        <v>-19740.76500732953</v>
      </c>
      <c r="M43" s="75">
        <f t="shared" si="3"/>
        <v>473778.36017590889</v>
      </c>
      <c r="N43" s="32"/>
      <c r="O43" s="76">
        <f t="shared" si="9"/>
        <v>-312525</v>
      </c>
      <c r="P43" s="39">
        <f t="shared" si="9"/>
        <v>26553.88247146508</v>
      </c>
      <c r="Q43" s="88">
        <f t="shared" si="10"/>
        <v>296111.4751099429</v>
      </c>
      <c r="R43" s="87"/>
    </row>
    <row r="44" spans="2:18" x14ac:dyDescent="0.45">
      <c r="B44" s="7"/>
      <c r="C44" s="19">
        <f t="shared" si="11"/>
        <v>44075</v>
      </c>
      <c r="D44" s="26">
        <f t="shared" si="4"/>
        <v>16</v>
      </c>
      <c r="E44" s="34">
        <f t="shared" si="5"/>
        <v>483918.71775731695</v>
      </c>
      <c r="F44" s="43">
        <f t="shared" si="6"/>
        <v>-20835</v>
      </c>
      <c r="G44" s="47">
        <f t="shared" si="12"/>
        <v>1329.4664521347306</v>
      </c>
      <c r="H44" s="60">
        <f t="shared" si="7"/>
        <v>464413.18420945166</v>
      </c>
      <c r="J44" s="74">
        <f t="shared" si="1"/>
        <v>16</v>
      </c>
      <c r="K44" s="48">
        <f t="shared" si="8"/>
        <v>473778.36017590889</v>
      </c>
      <c r="L44" s="43">
        <f t="shared" si="13"/>
        <v>-19740.76500732953</v>
      </c>
      <c r="M44" s="75">
        <f t="shared" si="3"/>
        <v>454037.59516857937</v>
      </c>
      <c r="N44" s="32"/>
      <c r="O44" s="76">
        <f t="shared" si="9"/>
        <v>-333360</v>
      </c>
      <c r="P44" s="39">
        <f t="shared" si="9"/>
        <v>27883.348923599809</v>
      </c>
      <c r="Q44" s="88">
        <f t="shared" si="10"/>
        <v>315852.24011727242</v>
      </c>
      <c r="R44" s="87"/>
    </row>
    <row r="45" spans="2:18" x14ac:dyDescent="0.45">
      <c r="B45" s="7"/>
      <c r="C45" s="19">
        <f t="shared" si="11"/>
        <v>44105</v>
      </c>
      <c r="D45" s="26">
        <f t="shared" si="4"/>
        <v>17</v>
      </c>
      <c r="E45" s="34">
        <f t="shared" si="5"/>
        <v>464413.18420945166</v>
      </c>
      <c r="F45" s="43">
        <f t="shared" si="6"/>
        <v>-20835</v>
      </c>
      <c r="G45" s="47">
        <f t="shared" si="12"/>
        <v>1273.4680408572576</v>
      </c>
      <c r="H45" s="60">
        <f t="shared" si="7"/>
        <v>444851.65225030889</v>
      </c>
      <c r="J45" s="74">
        <f t="shared" si="1"/>
        <v>17</v>
      </c>
      <c r="K45" s="48">
        <f t="shared" si="8"/>
        <v>454037.59516857937</v>
      </c>
      <c r="L45" s="43">
        <f t="shared" si="13"/>
        <v>-19740.76500732953</v>
      </c>
      <c r="M45" s="75">
        <f t="shared" si="3"/>
        <v>434296.83016124985</v>
      </c>
      <c r="N45" s="32"/>
      <c r="O45" s="76">
        <f t="shared" si="9"/>
        <v>-354195</v>
      </c>
      <c r="P45" s="39">
        <f t="shared" si="9"/>
        <v>29156.816964457066</v>
      </c>
      <c r="Q45" s="88">
        <f t="shared" si="10"/>
        <v>335593.00512460194</v>
      </c>
      <c r="R45" s="87"/>
    </row>
    <row r="46" spans="2:18" x14ac:dyDescent="0.45">
      <c r="B46" s="7"/>
      <c r="C46" s="19">
        <f t="shared" si="11"/>
        <v>44136</v>
      </c>
      <c r="D46" s="26">
        <f t="shared" si="4"/>
        <v>18</v>
      </c>
      <c r="E46" s="34">
        <f t="shared" si="5"/>
        <v>444851.65225030889</v>
      </c>
      <c r="F46" s="43">
        <f t="shared" si="6"/>
        <v>-20835</v>
      </c>
      <c r="G46" s="47">
        <f t="shared" si="12"/>
        <v>1217.3088638125778</v>
      </c>
      <c r="H46" s="60">
        <f t="shared" si="7"/>
        <v>425233.96111412148</v>
      </c>
      <c r="J46" s="74">
        <f t="shared" si="1"/>
        <v>18</v>
      </c>
      <c r="K46" s="48">
        <f t="shared" si="8"/>
        <v>434296.83016124985</v>
      </c>
      <c r="L46" s="43">
        <f t="shared" si="13"/>
        <v>-19740.76500732953</v>
      </c>
      <c r="M46" s="75">
        <f t="shared" si="3"/>
        <v>414556.06515392032</v>
      </c>
      <c r="N46" s="32"/>
      <c r="O46" s="76">
        <f t="shared" ref="O46:P61" si="14">+O45+F46</f>
        <v>-375030</v>
      </c>
      <c r="P46" s="39">
        <f t="shared" si="14"/>
        <v>30374.125828269644</v>
      </c>
      <c r="Q46" s="88">
        <f t="shared" si="10"/>
        <v>355333.77013193147</v>
      </c>
      <c r="R46" s="87"/>
    </row>
    <row r="47" spans="2:18" x14ac:dyDescent="0.45">
      <c r="B47" s="7"/>
      <c r="C47" s="19">
        <f t="shared" si="11"/>
        <v>44166</v>
      </c>
      <c r="D47" s="26">
        <f t="shared" si="4"/>
        <v>19</v>
      </c>
      <c r="E47" s="34">
        <f t="shared" si="5"/>
        <v>425233.96111412148</v>
      </c>
      <c r="F47" s="43">
        <f t="shared" si="6"/>
        <v>-20835</v>
      </c>
      <c r="G47" s="47">
        <f t="shared" si="12"/>
        <v>1160.9884594584562</v>
      </c>
      <c r="H47" s="60">
        <f t="shared" si="7"/>
        <v>405559.94957357994</v>
      </c>
      <c r="J47" s="74">
        <f t="shared" si="1"/>
        <v>19</v>
      </c>
      <c r="K47" s="48">
        <f t="shared" si="8"/>
        <v>414556.06515392032</v>
      </c>
      <c r="L47" s="43">
        <f t="shared" si="13"/>
        <v>-19740.76500732953</v>
      </c>
      <c r="M47" s="75">
        <f t="shared" si="3"/>
        <v>394815.3001465908</v>
      </c>
      <c r="N47" s="32"/>
      <c r="O47" s="76">
        <f t="shared" si="14"/>
        <v>-395865</v>
      </c>
      <c r="P47" s="39">
        <f t="shared" si="14"/>
        <v>31535.114287728098</v>
      </c>
      <c r="Q47" s="88">
        <f t="shared" si="10"/>
        <v>375074.53513926099</v>
      </c>
      <c r="R47" s="87"/>
    </row>
    <row r="48" spans="2:18" x14ac:dyDescent="0.45">
      <c r="B48" s="7"/>
      <c r="C48" s="19">
        <f t="shared" si="11"/>
        <v>44197</v>
      </c>
      <c r="D48" s="26">
        <f t="shared" si="4"/>
        <v>20</v>
      </c>
      <c r="E48" s="34">
        <f t="shared" si="5"/>
        <v>405559.94957357994</v>
      </c>
      <c r="F48" s="43">
        <f t="shared" si="6"/>
        <v>-20835</v>
      </c>
      <c r="G48" s="47">
        <f t="shared" si="12"/>
        <v>1104.5063649276165</v>
      </c>
      <c r="H48" s="60">
        <f t="shared" si="7"/>
        <v>385829.45593850757</v>
      </c>
      <c r="J48" s="74">
        <f t="shared" si="1"/>
        <v>20</v>
      </c>
      <c r="K48" s="48">
        <f t="shared" si="8"/>
        <v>394815.3001465908</v>
      </c>
      <c r="L48" s="43">
        <f t="shared" si="13"/>
        <v>-19740.76500732953</v>
      </c>
      <c r="M48" s="75">
        <f t="shared" si="3"/>
        <v>375074.53513926128</v>
      </c>
      <c r="N48" s="32"/>
      <c r="O48" s="76">
        <f t="shared" si="14"/>
        <v>-416700</v>
      </c>
      <c r="P48" s="39">
        <f t="shared" si="14"/>
        <v>32639.620652655714</v>
      </c>
      <c r="Q48" s="88">
        <f t="shared" si="10"/>
        <v>394815.30014659051</v>
      </c>
      <c r="R48" s="87"/>
    </row>
    <row r="49" spans="2:18" x14ac:dyDescent="0.45">
      <c r="B49" s="7"/>
      <c r="C49" s="19">
        <f t="shared" si="11"/>
        <v>44228</v>
      </c>
      <c r="D49" s="26">
        <f t="shared" si="4"/>
        <v>21</v>
      </c>
      <c r="E49" s="34">
        <f t="shared" si="5"/>
        <v>385829.45593850757</v>
      </c>
      <c r="F49" s="43">
        <f t="shared" si="6"/>
        <v>-20835</v>
      </c>
      <c r="G49" s="47">
        <f t="shared" si="12"/>
        <v>1047.8621160239372</v>
      </c>
      <c r="H49" s="60">
        <f t="shared" si="7"/>
        <v>366042.31805453153</v>
      </c>
      <c r="J49" s="74">
        <f t="shared" si="1"/>
        <v>21</v>
      </c>
      <c r="K49" s="48">
        <f t="shared" si="8"/>
        <v>375074.53513926128</v>
      </c>
      <c r="L49" s="43">
        <f t="shared" si="13"/>
        <v>-19740.76500732953</v>
      </c>
      <c r="M49" s="75">
        <f t="shared" si="3"/>
        <v>355333.77013193176</v>
      </c>
      <c r="N49" s="80"/>
      <c r="O49" s="76">
        <f t="shared" si="14"/>
        <v>-437535</v>
      </c>
      <c r="P49" s="39">
        <f t="shared" si="14"/>
        <v>33687.482768679649</v>
      </c>
      <c r="Q49" s="88">
        <f t="shared" si="10"/>
        <v>414556.06515392003</v>
      </c>
      <c r="R49" s="87"/>
    </row>
    <row r="50" spans="2:18" x14ac:dyDescent="0.45">
      <c r="B50" s="7"/>
      <c r="C50" s="19">
        <f t="shared" si="11"/>
        <v>44256</v>
      </c>
      <c r="D50" s="26">
        <f t="shared" si="4"/>
        <v>22</v>
      </c>
      <c r="E50" s="34">
        <f t="shared" si="5"/>
        <v>366042.31805453153</v>
      </c>
      <c r="F50" s="43">
        <f t="shared" si="6"/>
        <v>-20835</v>
      </c>
      <c r="G50" s="47">
        <f t="shared" si="12"/>
        <v>991.05524721863753</v>
      </c>
      <c r="H50" s="60">
        <f t="shared" si="7"/>
        <v>346198.37330175017</v>
      </c>
      <c r="J50" s="74">
        <f t="shared" si="1"/>
        <v>22</v>
      </c>
      <c r="K50" s="48">
        <f t="shared" si="8"/>
        <v>355333.77013193176</v>
      </c>
      <c r="L50" s="43">
        <f t="shared" si="13"/>
        <v>-19740.76500732953</v>
      </c>
      <c r="M50" s="75">
        <f t="shared" si="3"/>
        <v>335593.00512460223</v>
      </c>
      <c r="N50" s="32"/>
      <c r="O50" s="76">
        <f t="shared" si="14"/>
        <v>-458370</v>
      </c>
      <c r="P50" s="39">
        <f t="shared" si="14"/>
        <v>34678.538015898288</v>
      </c>
      <c r="Q50" s="88">
        <f t="shared" si="10"/>
        <v>434296.83016124956</v>
      </c>
      <c r="R50" s="32"/>
    </row>
    <row r="51" spans="2:18" x14ac:dyDescent="0.45">
      <c r="B51" s="7"/>
      <c r="C51" s="19">
        <f t="shared" si="11"/>
        <v>44287</v>
      </c>
      <c r="D51" s="26">
        <f t="shared" si="4"/>
        <v>23</v>
      </c>
      <c r="E51" s="34">
        <f t="shared" si="5"/>
        <v>346198.37330175017</v>
      </c>
      <c r="F51" s="43">
        <f t="shared" si="6"/>
        <v>-20835</v>
      </c>
      <c r="G51" s="47">
        <f t="shared" si="12"/>
        <v>934.08529164644995</v>
      </c>
      <c r="H51" s="60">
        <f t="shared" si="7"/>
        <v>326297.45859339659</v>
      </c>
      <c r="J51" s="74">
        <f t="shared" si="1"/>
        <v>23</v>
      </c>
      <c r="K51" s="48">
        <f t="shared" si="8"/>
        <v>335593.00512460223</v>
      </c>
      <c r="L51" s="43">
        <f t="shared" si="13"/>
        <v>-19740.76500732953</v>
      </c>
      <c r="M51" s="75">
        <f t="shared" si="3"/>
        <v>315852.24011727271</v>
      </c>
      <c r="N51" s="32"/>
      <c r="O51" s="76">
        <f t="shared" si="14"/>
        <v>-479205</v>
      </c>
      <c r="P51" s="39">
        <f t="shared" si="14"/>
        <v>35612.623307544738</v>
      </c>
      <c r="Q51" s="88">
        <f t="shared" si="10"/>
        <v>454037.59516857908</v>
      </c>
      <c r="R51" s="32"/>
    </row>
    <row r="52" spans="2:18" x14ac:dyDescent="0.45">
      <c r="B52" s="7"/>
      <c r="C52" s="19">
        <f t="shared" si="11"/>
        <v>44317</v>
      </c>
      <c r="D52" s="26">
        <f t="shared" si="4"/>
        <v>24</v>
      </c>
      <c r="E52" s="34">
        <f t="shared" si="5"/>
        <v>326297.45859339659</v>
      </c>
      <c r="F52" s="43">
        <f t="shared" si="6"/>
        <v>-20835</v>
      </c>
      <c r="G52" s="47">
        <f t="shared" si="12"/>
        <v>876.95178110178415</v>
      </c>
      <c r="H52" s="60">
        <f t="shared" si="7"/>
        <v>306339.41037449834</v>
      </c>
      <c r="J52" s="74">
        <f t="shared" si="1"/>
        <v>24</v>
      </c>
      <c r="K52" s="48">
        <f t="shared" si="8"/>
        <v>315852.24011727271</v>
      </c>
      <c r="L52" s="43">
        <f t="shared" si="13"/>
        <v>-19740.76500732953</v>
      </c>
      <c r="M52" s="75">
        <f t="shared" si="3"/>
        <v>296111.47510994319</v>
      </c>
      <c r="N52" s="32"/>
      <c r="O52" s="76">
        <f t="shared" si="14"/>
        <v>-500040</v>
      </c>
      <c r="P52" s="39">
        <f t="shared" si="14"/>
        <v>36489.575088646525</v>
      </c>
      <c r="Q52" s="88">
        <f t="shared" si="10"/>
        <v>473778.3601759086</v>
      </c>
      <c r="R52" s="32"/>
    </row>
    <row r="53" spans="2:18" x14ac:dyDescent="0.45">
      <c r="B53" s="7"/>
      <c r="C53" s="19">
        <f t="shared" si="11"/>
        <v>44348</v>
      </c>
      <c r="D53" s="26">
        <f t="shared" si="4"/>
        <v>25</v>
      </c>
      <c r="E53" s="34">
        <f t="shared" si="5"/>
        <v>306339.41037449834</v>
      </c>
      <c r="F53" s="43">
        <f t="shared" si="6"/>
        <v>-20835</v>
      </c>
      <c r="G53" s="47">
        <f t="shared" si="12"/>
        <v>819.65424603487929</v>
      </c>
      <c r="H53" s="60">
        <f t="shared" si="7"/>
        <v>286324.0646205332</v>
      </c>
      <c r="J53" s="74">
        <f t="shared" si="1"/>
        <v>25</v>
      </c>
      <c r="K53" s="48">
        <f t="shared" si="8"/>
        <v>296111.47510994319</v>
      </c>
      <c r="L53" s="43">
        <f t="shared" si="13"/>
        <v>-19740.76500732953</v>
      </c>
      <c r="M53" s="75">
        <f t="shared" si="3"/>
        <v>276370.71010261367</v>
      </c>
      <c r="N53" s="32"/>
      <c r="O53" s="76">
        <f t="shared" si="14"/>
        <v>-520875</v>
      </c>
      <c r="P53" s="39">
        <f t="shared" si="14"/>
        <v>37309.229334681404</v>
      </c>
      <c r="Q53" s="88">
        <f t="shared" si="10"/>
        <v>493519.12518323812</v>
      </c>
      <c r="R53" s="32"/>
    </row>
    <row r="54" spans="2:18" x14ac:dyDescent="0.45">
      <c r="B54" s="7"/>
      <c r="C54" s="19">
        <f t="shared" si="11"/>
        <v>44378</v>
      </c>
      <c r="D54" s="26">
        <f t="shared" si="4"/>
        <v>26</v>
      </c>
      <c r="E54" s="34">
        <f t="shared" si="5"/>
        <v>286324.0646205332</v>
      </c>
      <c r="F54" s="43">
        <f t="shared" si="6"/>
        <v>-20835</v>
      </c>
      <c r="G54" s="47">
        <f t="shared" si="12"/>
        <v>762.19221554794467</v>
      </c>
      <c r="H54" s="60">
        <f t="shared" si="7"/>
        <v>266251.25683608116</v>
      </c>
      <c r="J54" s="74">
        <f t="shared" si="1"/>
        <v>26</v>
      </c>
      <c r="K54" s="48">
        <f t="shared" si="8"/>
        <v>276370.71010261367</v>
      </c>
      <c r="L54" s="43">
        <f t="shared" si="13"/>
        <v>-19740.76500732953</v>
      </c>
      <c r="M54" s="75">
        <f t="shared" si="3"/>
        <v>256629.94509528414</v>
      </c>
      <c r="N54" s="32"/>
      <c r="O54" s="76">
        <f t="shared" si="14"/>
        <v>-541710</v>
      </c>
      <c r="P54" s="39">
        <f t="shared" si="14"/>
        <v>38071.421550229352</v>
      </c>
      <c r="Q54" s="88">
        <f t="shared" si="10"/>
        <v>513259.89019056765</v>
      </c>
      <c r="R54" s="32"/>
    </row>
    <row r="55" spans="2:18" x14ac:dyDescent="0.45">
      <c r="B55" s="7"/>
      <c r="C55" s="19">
        <f t="shared" si="11"/>
        <v>44409</v>
      </c>
      <c r="D55" s="26">
        <f t="shared" si="4"/>
        <v>27</v>
      </c>
      <c r="E55" s="34">
        <f t="shared" si="5"/>
        <v>266251.25683608116</v>
      </c>
      <c r="F55" s="43">
        <f t="shared" si="6"/>
        <v>-20835</v>
      </c>
      <c r="G55" s="47">
        <f t="shared" si="12"/>
        <v>704.56521739128959</v>
      </c>
      <c r="H55" s="60">
        <f t="shared" si="7"/>
        <v>246120.82205347245</v>
      </c>
      <c r="J55" s="74">
        <f t="shared" si="1"/>
        <v>27</v>
      </c>
      <c r="K55" s="48">
        <f t="shared" si="8"/>
        <v>256629.94509528414</v>
      </c>
      <c r="L55" s="43">
        <f t="shared" si="13"/>
        <v>-19740.76500732953</v>
      </c>
      <c r="M55" s="75">
        <f t="shared" si="3"/>
        <v>236889.18008795462</v>
      </c>
      <c r="N55" s="32"/>
      <c r="O55" s="76">
        <f t="shared" si="14"/>
        <v>-562545</v>
      </c>
      <c r="P55" s="39">
        <f t="shared" si="14"/>
        <v>38775.986767620641</v>
      </c>
      <c r="Q55" s="88">
        <f t="shared" si="10"/>
        <v>533000.65519789723</v>
      </c>
      <c r="R55" s="32"/>
    </row>
    <row r="56" spans="2:18" x14ac:dyDescent="0.45">
      <c r="B56" s="7"/>
      <c r="C56" s="19">
        <f t="shared" si="11"/>
        <v>44440</v>
      </c>
      <c r="D56" s="26">
        <f t="shared" si="4"/>
        <v>28</v>
      </c>
      <c r="E56" s="34">
        <f t="shared" si="5"/>
        <v>246120.82205347245</v>
      </c>
      <c r="F56" s="43">
        <f t="shared" si="6"/>
        <v>-20835</v>
      </c>
      <c r="G56" s="47">
        <f t="shared" si="12"/>
        <v>646.77277795944246</v>
      </c>
      <c r="H56" s="60">
        <f t="shared" si="7"/>
        <v>225932.5948314319</v>
      </c>
      <c r="J56" s="74">
        <f t="shared" si="1"/>
        <v>28</v>
      </c>
      <c r="K56" s="48">
        <f t="shared" si="8"/>
        <v>236889.18008795462</v>
      </c>
      <c r="L56" s="43">
        <f t="shared" si="13"/>
        <v>-19740.76500732953</v>
      </c>
      <c r="M56" s="75">
        <f t="shared" si="3"/>
        <v>217148.4150806251</v>
      </c>
      <c r="N56" s="32"/>
      <c r="O56" s="76">
        <f t="shared" si="14"/>
        <v>-583380</v>
      </c>
      <c r="P56" s="39">
        <f t="shared" si="14"/>
        <v>39422.759545580084</v>
      </c>
      <c r="Q56" s="88">
        <f t="shared" si="10"/>
        <v>552741.42020522675</v>
      </c>
      <c r="R56" s="32"/>
    </row>
    <row r="57" spans="2:18" x14ac:dyDescent="0.45">
      <c r="B57" s="7"/>
      <c r="C57" s="19">
        <f t="shared" si="11"/>
        <v>44470</v>
      </c>
      <c r="D57" s="26">
        <f t="shared" si="4"/>
        <v>29</v>
      </c>
      <c r="E57" s="34">
        <f t="shared" si="5"/>
        <v>225932.5948314319</v>
      </c>
      <c r="F57" s="43">
        <f t="shared" si="6"/>
        <v>-20835</v>
      </c>
      <c r="G57" s="47">
        <f t="shared" si="12"/>
        <v>588.81442228725803</v>
      </c>
      <c r="H57" s="60">
        <f t="shared" si="7"/>
        <v>205686.40925371915</v>
      </c>
      <c r="J57" s="74">
        <f t="shared" si="1"/>
        <v>29</v>
      </c>
      <c r="K57" s="48">
        <f t="shared" si="8"/>
        <v>217148.4150806251</v>
      </c>
      <c r="L57" s="43">
        <f t="shared" si="13"/>
        <v>-19740.76500732953</v>
      </c>
      <c r="M57" s="75">
        <f t="shared" si="3"/>
        <v>197407.65007329558</v>
      </c>
      <c r="N57" s="32"/>
      <c r="O57" s="76">
        <f t="shared" si="14"/>
        <v>-604215</v>
      </c>
      <c r="P57" s="39">
        <f t="shared" si="14"/>
        <v>40011.573967867342</v>
      </c>
      <c r="Q57" s="88">
        <f t="shared" si="10"/>
        <v>572482.18521255627</v>
      </c>
      <c r="R57" s="32"/>
    </row>
    <row r="58" spans="2:18" x14ac:dyDescent="0.45">
      <c r="B58" s="7"/>
      <c r="C58" s="19">
        <f t="shared" si="11"/>
        <v>44501</v>
      </c>
      <c r="D58" s="26">
        <f t="shared" si="4"/>
        <v>30</v>
      </c>
      <c r="E58" s="34">
        <f t="shared" si="5"/>
        <v>205686.40925371915</v>
      </c>
      <c r="F58" s="43">
        <f t="shared" si="6"/>
        <v>-20835</v>
      </c>
      <c r="G58" s="47">
        <f t="shared" si="12"/>
        <v>530.68967404601449</v>
      </c>
      <c r="H58" s="60">
        <f t="shared" si="7"/>
        <v>185382.09892776515</v>
      </c>
      <c r="J58" s="74">
        <f t="shared" si="1"/>
        <v>30</v>
      </c>
      <c r="K58" s="48">
        <f t="shared" si="8"/>
        <v>197407.65007329558</v>
      </c>
      <c r="L58" s="43">
        <f t="shared" si="13"/>
        <v>-19740.76500732953</v>
      </c>
      <c r="M58" s="75">
        <f t="shared" si="3"/>
        <v>177666.88506596605</v>
      </c>
      <c r="N58" s="32"/>
      <c r="O58" s="76">
        <f t="shared" si="14"/>
        <v>-625050</v>
      </c>
      <c r="P58" s="39">
        <f t="shared" si="14"/>
        <v>40542.263641913356</v>
      </c>
      <c r="Q58" s="88">
        <f t="shared" si="10"/>
        <v>592222.9502198858</v>
      </c>
      <c r="R58" s="32"/>
    </row>
    <row r="59" spans="2:18" x14ac:dyDescent="0.45">
      <c r="B59" s="7"/>
      <c r="C59" s="19">
        <f t="shared" si="11"/>
        <v>44531</v>
      </c>
      <c r="D59" s="26">
        <f t="shared" si="4"/>
        <v>31</v>
      </c>
      <c r="E59" s="34">
        <f t="shared" si="5"/>
        <v>185382.09892776515</v>
      </c>
      <c r="F59" s="43">
        <f t="shared" si="6"/>
        <v>-20835</v>
      </c>
      <c r="G59" s="47">
        <f t="shared" si="12"/>
        <v>472.3980555394985</v>
      </c>
      <c r="H59" s="60">
        <f t="shared" si="7"/>
        <v>165019.49698330465</v>
      </c>
      <c r="J59" s="74">
        <f t="shared" si="1"/>
        <v>31</v>
      </c>
      <c r="K59" s="48">
        <f t="shared" si="8"/>
        <v>177666.88506596605</v>
      </c>
      <c r="L59" s="43">
        <f t="shared" si="13"/>
        <v>-19740.76500732953</v>
      </c>
      <c r="M59" s="75">
        <f t="shared" si="3"/>
        <v>157926.12005863653</v>
      </c>
      <c r="N59" s="32"/>
      <c r="O59" s="76">
        <f t="shared" si="14"/>
        <v>-645885</v>
      </c>
      <c r="P59" s="39">
        <f t="shared" si="14"/>
        <v>41014.661697452852</v>
      </c>
      <c r="Q59" s="88">
        <f t="shared" si="10"/>
        <v>611963.71522721532</v>
      </c>
      <c r="R59" s="32"/>
    </row>
    <row r="60" spans="2:18" x14ac:dyDescent="0.45">
      <c r="B60" s="7"/>
      <c r="C60" s="19">
        <f t="shared" si="11"/>
        <v>44562</v>
      </c>
      <c r="D60" s="26">
        <f t="shared" si="4"/>
        <v>32</v>
      </c>
      <c r="E60" s="34">
        <f t="shared" si="5"/>
        <v>165019.49698330465</v>
      </c>
      <c r="F60" s="43">
        <f t="shared" si="6"/>
        <v>-20835</v>
      </c>
      <c r="G60" s="47">
        <f t="shared" si="12"/>
        <v>413.93908770007931</v>
      </c>
      <c r="H60" s="60">
        <f t="shared" si="7"/>
        <v>144598.43607100472</v>
      </c>
      <c r="J60" s="74">
        <f t="shared" si="1"/>
        <v>32</v>
      </c>
      <c r="K60" s="48">
        <f t="shared" si="8"/>
        <v>157926.12005863653</v>
      </c>
      <c r="L60" s="43">
        <f t="shared" si="13"/>
        <v>-19740.76500732953</v>
      </c>
      <c r="M60" s="75">
        <f t="shared" si="3"/>
        <v>138185.35505130701</v>
      </c>
      <c r="N60" s="32"/>
      <c r="O60" s="76">
        <f t="shared" si="14"/>
        <v>-666720</v>
      </c>
      <c r="P60" s="39">
        <f t="shared" si="14"/>
        <v>41428.600785152928</v>
      </c>
      <c r="Q60" s="88">
        <f t="shared" si="10"/>
        <v>631704.48023454484</v>
      </c>
      <c r="R60" s="32"/>
    </row>
    <row r="61" spans="2:18" x14ac:dyDescent="0.45">
      <c r="B61" s="7"/>
      <c r="C61" s="19">
        <f t="shared" si="11"/>
        <v>44593</v>
      </c>
      <c r="D61" s="26">
        <f t="shared" si="4"/>
        <v>33</v>
      </c>
      <c r="E61" s="34">
        <f t="shared" si="5"/>
        <v>144598.43607100472</v>
      </c>
      <c r="F61" s="43">
        <f t="shared" si="6"/>
        <v>-20835</v>
      </c>
      <c r="G61" s="47">
        <f t="shared" si="12"/>
        <v>355.31229008477135</v>
      </c>
      <c r="H61" s="60">
        <f t="shared" si="7"/>
        <v>124118.74836108949</v>
      </c>
      <c r="J61" s="74">
        <f t="shared" si="1"/>
        <v>33</v>
      </c>
      <c r="K61" s="48">
        <f t="shared" si="8"/>
        <v>138185.35505130701</v>
      </c>
      <c r="L61" s="43">
        <f t="shared" si="13"/>
        <v>-19740.76500732953</v>
      </c>
      <c r="M61" s="75">
        <f t="shared" si="3"/>
        <v>118444.59004397749</v>
      </c>
      <c r="N61" s="32"/>
      <c r="O61" s="76">
        <f t="shared" si="14"/>
        <v>-687555</v>
      </c>
      <c r="P61" s="39">
        <f t="shared" si="14"/>
        <v>41783.913075237702</v>
      </c>
      <c r="Q61" s="88">
        <f t="shared" si="10"/>
        <v>651445.24524187436</v>
      </c>
      <c r="R61" s="32"/>
    </row>
    <row r="62" spans="2:18" x14ac:dyDescent="0.45">
      <c r="B62" s="7"/>
      <c r="C62" s="19">
        <f t="shared" si="11"/>
        <v>44621</v>
      </c>
      <c r="D62" s="26">
        <f t="shared" si="4"/>
        <v>34</v>
      </c>
      <c r="E62" s="34">
        <f t="shared" si="5"/>
        <v>124118.74836108949</v>
      </c>
      <c r="F62" s="43">
        <f t="shared" si="6"/>
        <v>-20835</v>
      </c>
      <c r="G62" s="47">
        <f t="shared" si="12"/>
        <v>296.51718087128603</v>
      </c>
      <c r="H62" s="60">
        <f t="shared" si="7"/>
        <v>103580.26554196078</v>
      </c>
      <c r="J62" s="74">
        <f t="shared" si="1"/>
        <v>34</v>
      </c>
      <c r="K62" s="48">
        <f t="shared" si="8"/>
        <v>118444.59004397749</v>
      </c>
      <c r="L62" s="43">
        <f t="shared" si="13"/>
        <v>-19740.76500732953</v>
      </c>
      <c r="M62" s="75">
        <f t="shared" si="3"/>
        <v>98703.825036647962</v>
      </c>
      <c r="N62" s="32"/>
      <c r="O62" s="76">
        <f t="shared" ref="O62:P64" si="15">+O61+F62</f>
        <v>-708390</v>
      </c>
      <c r="P62" s="39">
        <f t="shared" si="15"/>
        <v>42080.430256108986</v>
      </c>
      <c r="Q62" s="88">
        <f t="shared" si="10"/>
        <v>671186.01024920389</v>
      </c>
      <c r="R62" s="32"/>
    </row>
    <row r="63" spans="2:18" x14ac:dyDescent="0.45">
      <c r="B63" s="7"/>
      <c r="C63" s="19">
        <f t="shared" si="11"/>
        <v>44652</v>
      </c>
      <c r="D63" s="26">
        <f t="shared" si="4"/>
        <v>35</v>
      </c>
      <c r="E63" s="34">
        <f t="shared" si="5"/>
        <v>103580.26554196078</v>
      </c>
      <c r="F63" s="43">
        <f t="shared" si="6"/>
        <v>-20835</v>
      </c>
      <c r="G63" s="47">
        <f t="shared" si="12"/>
        <v>237.55327685407181</v>
      </c>
      <c r="H63" s="60">
        <f t="shared" si="7"/>
        <v>82982.818818814849</v>
      </c>
      <c r="J63" s="74">
        <f t="shared" si="1"/>
        <v>35</v>
      </c>
      <c r="K63" s="48">
        <f t="shared" si="8"/>
        <v>98703.825036647962</v>
      </c>
      <c r="L63" s="43">
        <f t="shared" si="13"/>
        <v>-19740.76500732953</v>
      </c>
      <c r="M63" s="75">
        <f t="shared" si="3"/>
        <v>78963.06002931844</v>
      </c>
      <c r="N63" s="32"/>
      <c r="O63" s="76">
        <f t="shared" si="15"/>
        <v>-729225</v>
      </c>
      <c r="P63" s="39">
        <f t="shared" si="15"/>
        <v>42317.983532963059</v>
      </c>
      <c r="Q63" s="88">
        <f t="shared" si="10"/>
        <v>690926.77525653341</v>
      </c>
      <c r="R63" s="32"/>
    </row>
    <row r="64" spans="2:18" x14ac:dyDescent="0.45">
      <c r="B64" s="7"/>
      <c r="C64" s="19">
        <f t="shared" si="11"/>
        <v>44682</v>
      </c>
      <c r="D64" s="26">
        <f t="shared" si="4"/>
        <v>36</v>
      </c>
      <c r="E64" s="34">
        <f t="shared" si="5"/>
        <v>82982.818818814849</v>
      </c>
      <c r="F64" s="43">
        <f t="shared" si="6"/>
        <v>-20835</v>
      </c>
      <c r="G64" s="47">
        <f t="shared" si="12"/>
        <v>178.42009344034278</v>
      </c>
      <c r="H64" s="60">
        <f t="shared" si="7"/>
        <v>62326.23891225519</v>
      </c>
      <c r="J64" s="74">
        <f t="shared" si="1"/>
        <v>36</v>
      </c>
      <c r="K64" s="48">
        <f t="shared" si="8"/>
        <v>78963.06002931844</v>
      </c>
      <c r="L64" s="43">
        <f t="shared" si="13"/>
        <v>-19740.76500732953</v>
      </c>
      <c r="M64" s="75">
        <f t="shared" si="3"/>
        <v>59222.29502198891</v>
      </c>
      <c r="N64" s="32"/>
      <c r="O64" s="76">
        <f t="shared" si="15"/>
        <v>-750060</v>
      </c>
      <c r="P64" s="39">
        <f t="shared" si="15"/>
        <v>42496.4036264034</v>
      </c>
      <c r="Q64" s="88">
        <f t="shared" si="10"/>
        <v>710667.54026386293</v>
      </c>
      <c r="R64" s="32"/>
    </row>
    <row r="65" spans="2:18" x14ac:dyDescent="0.45">
      <c r="B65" s="7"/>
      <c r="C65" s="19">
        <f t="shared" si="11"/>
        <v>44713</v>
      </c>
      <c r="D65" s="26">
        <f t="shared" si="4"/>
        <v>37</v>
      </c>
      <c r="E65" s="34">
        <f t="shared" ref="E65:E67" si="16">H64</f>
        <v>62326.23891225519</v>
      </c>
      <c r="F65" s="43">
        <f t="shared" si="6"/>
        <v>-20835</v>
      </c>
      <c r="G65" s="47">
        <f t="shared" ref="G65:G67" si="17">((E65+F65)*($F$16))</f>
        <v>119.11714464609636</v>
      </c>
      <c r="H65" s="60">
        <f t="shared" ref="H65:H67" si="18">SUM(E65:G65)</f>
        <v>41610.356056901284</v>
      </c>
      <c r="J65" s="74">
        <f t="shared" ref="J65:J67" si="19">D65</f>
        <v>37</v>
      </c>
      <c r="K65" s="48">
        <f t="shared" ref="K65:K67" si="20">M64</f>
        <v>59222.29502198891</v>
      </c>
      <c r="L65" s="43">
        <f t="shared" si="13"/>
        <v>-19740.76500732953</v>
      </c>
      <c r="M65" s="75">
        <f t="shared" ref="M65:M67" si="21">K65+L65</f>
        <v>39481.53001465938</v>
      </c>
      <c r="N65" s="32"/>
      <c r="O65" s="76">
        <f t="shared" ref="O65:O67" si="22">+O64+F65</f>
        <v>-770895</v>
      </c>
      <c r="P65" s="39">
        <f t="shared" ref="P65:P67" si="23">+P64+G65</f>
        <v>42615.520771049494</v>
      </c>
      <c r="Q65" s="88">
        <f t="shared" ref="Q65:Q67" si="24">+Q64-L65</f>
        <v>730408.30527119245</v>
      </c>
      <c r="R65" s="32"/>
    </row>
    <row r="66" spans="2:18" x14ac:dyDescent="0.45">
      <c r="B66" s="7"/>
      <c r="C66" s="19">
        <f t="shared" si="11"/>
        <v>44743</v>
      </c>
      <c r="D66" s="26">
        <f t="shared" si="4"/>
        <v>38</v>
      </c>
      <c r="E66" s="34">
        <f t="shared" si="16"/>
        <v>41610.356056901284</v>
      </c>
      <c r="F66" s="43">
        <f t="shared" si="6"/>
        <v>-20835</v>
      </c>
      <c r="G66" s="47">
        <f t="shared" si="17"/>
        <v>59.643943092119059</v>
      </c>
      <c r="H66" s="60">
        <f t="shared" si="18"/>
        <v>20834.999999993404</v>
      </c>
      <c r="J66" s="74">
        <f t="shared" si="19"/>
        <v>38</v>
      </c>
      <c r="K66" s="48">
        <f t="shared" si="20"/>
        <v>39481.53001465938</v>
      </c>
      <c r="L66" s="43">
        <f t="shared" si="13"/>
        <v>-19740.76500732953</v>
      </c>
      <c r="M66" s="75">
        <f t="shared" si="21"/>
        <v>19740.76500732985</v>
      </c>
      <c r="N66" s="32"/>
      <c r="O66" s="76">
        <f t="shared" si="22"/>
        <v>-791730</v>
      </c>
      <c r="P66" s="39">
        <f t="shared" si="23"/>
        <v>42675.164714141611</v>
      </c>
      <c r="Q66" s="88">
        <f t="shared" si="24"/>
        <v>750149.07027852198</v>
      </c>
      <c r="R66" s="32"/>
    </row>
    <row r="67" spans="2:18" x14ac:dyDescent="0.45">
      <c r="B67" s="7"/>
      <c r="C67" s="19">
        <f t="shared" si="11"/>
        <v>44774</v>
      </c>
      <c r="D67" s="26">
        <f t="shared" si="4"/>
        <v>39</v>
      </c>
      <c r="E67" s="34">
        <f t="shared" si="16"/>
        <v>20834.999999993404</v>
      </c>
      <c r="F67" s="43">
        <f t="shared" si="6"/>
        <v>-20835</v>
      </c>
      <c r="G67" s="47">
        <f t="shared" si="17"/>
        <v>-1.8935459148218623E-11</v>
      </c>
      <c r="H67" s="60">
        <f t="shared" si="18"/>
        <v>-6.6145910364054946E-9</v>
      </c>
      <c r="J67" s="74">
        <f t="shared" si="19"/>
        <v>39</v>
      </c>
      <c r="K67" s="48">
        <f t="shared" si="20"/>
        <v>19740.76500732985</v>
      </c>
      <c r="L67" s="43">
        <f t="shared" si="13"/>
        <v>-19740.76500732953</v>
      </c>
      <c r="M67" s="75">
        <f t="shared" si="21"/>
        <v>3.2014213502407074E-10</v>
      </c>
      <c r="N67" s="32"/>
      <c r="O67" s="76">
        <f t="shared" si="22"/>
        <v>-812565</v>
      </c>
      <c r="P67" s="39">
        <f t="shared" si="23"/>
        <v>42675.164714141589</v>
      </c>
      <c r="Q67" s="88">
        <f t="shared" si="24"/>
        <v>769889.8352858515</v>
      </c>
      <c r="R67" s="32"/>
    </row>
    <row r="68" spans="2:18" x14ac:dyDescent="0.45">
      <c r="B68" s="7"/>
      <c r="C68" s="19">
        <f t="shared" si="11"/>
        <v>44805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44835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44866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44896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44927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44958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44986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45017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45047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45078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45108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45139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45170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45200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45231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45261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45292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45323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45352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45383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45413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45444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45474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45505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45536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45566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45597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25">DATE(YEAR(C94),MONTH(C94)+1,DAY(C94))</f>
        <v>45627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25"/>
        <v>45658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25"/>
        <v>45689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25"/>
        <v>45717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25"/>
        <v>45748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25"/>
        <v>45778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25"/>
        <v>45809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25"/>
        <v>45839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25"/>
        <v>45870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25"/>
        <v>45901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25"/>
        <v>45931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25"/>
        <v>45962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25"/>
        <v>45992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-6.6356733441352844E-9</v>
      </c>
      <c r="F110" s="43">
        <f>SUM(F29:F107)</f>
        <v>-812565</v>
      </c>
      <c r="G110" s="43">
        <f>SUM(G29:G107)</f>
        <v>42675.164714141589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394815.3001465908</v>
      </c>
      <c r="G116" s="119">
        <f>INDEX(M:M,MATCH(DATE(2021,12,DAY(D10)),C:C))</f>
        <v>157926.12005863653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-240540.45259027524</v>
      </c>
      <c r="G119" s="113">
        <f ca="1">IFERROR(SUM(INDIRECT("F"&amp;MATCH(DATE(2022,1,DAY(D10)),C:C)):INDIRECT("G"&amp;MATCH(DATE(2022,1,DAY(D10)),C:C)+11)),VALUE("0"))</f>
        <v>-165019.49698331126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-165019.49698331126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-166680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44E9D-B0A8-495B-8FF4-E5CB4D40A49F}">
  <dimension ref="B1:R130"/>
  <sheetViews>
    <sheetView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92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28571.91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43749</v>
      </c>
      <c r="E10" s="12">
        <f>VLOOKUP($C$2,'Lease Summary'!D:H,4,FALSE)</f>
        <v>44844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10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28571.91</v>
      </c>
      <c r="G22" s="7" t="s">
        <v>229</v>
      </c>
      <c r="H22" s="53">
        <f>-PV(F16,F12,F22,0,1)</f>
        <v>978692.67256786581</v>
      </c>
      <c r="J22" s="17" t="s">
        <v>234</v>
      </c>
      <c r="K22" s="22"/>
      <c r="L22" s="7"/>
      <c r="M22" s="65">
        <f>H22</f>
        <v>978692.67256786581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43749</v>
      </c>
      <c r="D29" s="27">
        <v>1</v>
      </c>
      <c r="E29" s="33">
        <f>H22</f>
        <v>978692.67256786581</v>
      </c>
      <c r="F29" s="42">
        <f>-D7</f>
        <v>-28571.91</v>
      </c>
      <c r="G29" s="46">
        <f t="shared" ref="G29:G40" si="0">((E29+F29)*($F$16))</f>
        <v>2727.7004802242081</v>
      </c>
      <c r="H29" s="59">
        <f>SUM(E29:G29)</f>
        <v>952848.46304808999</v>
      </c>
      <c r="J29" s="69">
        <f t="shared" ref="J29:J64" si="1">D29</f>
        <v>1</v>
      </c>
      <c r="K29" s="70">
        <f>M22</f>
        <v>978692.67256786581</v>
      </c>
      <c r="L29" s="42">
        <f t="shared" ref="L29:L40" si="2">-$M$22/$F$12</f>
        <v>-27185.907571329604</v>
      </c>
      <c r="M29" s="71">
        <f t="shared" ref="M29:M64" si="3">K29+L29</f>
        <v>951506.76499653619</v>
      </c>
      <c r="N29" s="32"/>
      <c r="O29" s="72">
        <f>+F29</f>
        <v>-28571.91</v>
      </c>
      <c r="P29" s="73">
        <f>+G29</f>
        <v>2727.7004802242081</v>
      </c>
      <c r="Q29" s="71">
        <f>-L29</f>
        <v>27185.907571329604</v>
      </c>
      <c r="R29" s="85"/>
    </row>
    <row r="30" spans="2:18" x14ac:dyDescent="0.45">
      <c r="B30" s="7"/>
      <c r="C30" s="19">
        <f>DATE(YEAR(C29),MONTH(C29)+1,DAY(C29))</f>
        <v>43780</v>
      </c>
      <c r="D30" s="26">
        <f t="shared" ref="D30:D64" si="4">D29+1</f>
        <v>2</v>
      </c>
      <c r="E30" s="34">
        <f t="shared" ref="E30:E64" si="5">H29</f>
        <v>952848.46304808999</v>
      </c>
      <c r="F30" s="43">
        <f t="shared" ref="F30:F64" si="6">F29</f>
        <v>-28571.91</v>
      </c>
      <c r="G30" s="47">
        <f t="shared" si="0"/>
        <v>2653.5043722183354</v>
      </c>
      <c r="H30" s="60">
        <f t="shared" ref="H30:H64" si="7">SUM(E30:G30)</f>
        <v>926930.05742030835</v>
      </c>
      <c r="J30" s="74">
        <f t="shared" si="1"/>
        <v>2</v>
      </c>
      <c r="K30" s="48">
        <f t="shared" ref="K30:K64" si="8">M29</f>
        <v>951506.76499653619</v>
      </c>
      <c r="L30" s="43">
        <f t="shared" si="2"/>
        <v>-27185.907571329604</v>
      </c>
      <c r="M30" s="75">
        <f t="shared" si="3"/>
        <v>924320.85742520657</v>
      </c>
      <c r="N30" s="32"/>
      <c r="O30" s="76">
        <f t="shared" ref="O30:P45" si="9">+O29+F30</f>
        <v>-57143.82</v>
      </c>
      <c r="P30" s="77">
        <f t="shared" si="9"/>
        <v>5381.2048524425436</v>
      </c>
      <c r="Q30" s="75">
        <f t="shared" ref="Q30:Q64" si="10">+Q29-L30</f>
        <v>54371.815142659209</v>
      </c>
      <c r="R30" s="86"/>
    </row>
    <row r="31" spans="2:18" x14ac:dyDescent="0.45">
      <c r="B31" s="7"/>
      <c r="C31" s="19">
        <f t="shared" ref="C31:C94" si="11">DATE(YEAR(C30),MONTH(C30)+1,DAY(C30))</f>
        <v>43810</v>
      </c>
      <c r="D31" s="26">
        <f t="shared" si="4"/>
        <v>3</v>
      </c>
      <c r="E31" s="34">
        <f t="shared" si="5"/>
        <v>926930.05742030835</v>
      </c>
      <c r="F31" s="43">
        <f t="shared" si="6"/>
        <v>-28571.91</v>
      </c>
      <c r="G31" s="47">
        <f t="shared" si="0"/>
        <v>2579.0952547010284</v>
      </c>
      <c r="H31" s="60">
        <f t="shared" si="7"/>
        <v>900937.2426750093</v>
      </c>
      <c r="J31" s="74">
        <f t="shared" si="1"/>
        <v>3</v>
      </c>
      <c r="K31" s="48">
        <f t="shared" si="8"/>
        <v>924320.85742520657</v>
      </c>
      <c r="L31" s="43">
        <f t="shared" si="2"/>
        <v>-27185.907571329604</v>
      </c>
      <c r="M31" s="75">
        <f t="shared" si="3"/>
        <v>897134.94985387695</v>
      </c>
      <c r="N31" s="32"/>
      <c r="O31" s="76">
        <f t="shared" si="9"/>
        <v>-85715.73</v>
      </c>
      <c r="P31" s="39">
        <f t="shared" si="9"/>
        <v>7960.3001071435719</v>
      </c>
      <c r="Q31" s="88">
        <f t="shared" si="10"/>
        <v>81557.722713988813</v>
      </c>
      <c r="R31" s="86"/>
    </row>
    <row r="32" spans="2:18" x14ac:dyDescent="0.45">
      <c r="B32" s="7"/>
      <c r="C32" s="19">
        <f t="shared" si="11"/>
        <v>43841</v>
      </c>
      <c r="D32" s="26">
        <f t="shared" si="4"/>
        <v>4</v>
      </c>
      <c r="E32" s="34">
        <f t="shared" si="5"/>
        <v>900937.2426750093</v>
      </c>
      <c r="F32" s="43">
        <f t="shared" si="6"/>
        <v>-28571.91</v>
      </c>
      <c r="G32" s="47">
        <f t="shared" si="0"/>
        <v>2504.4725161435531</v>
      </c>
      <c r="H32" s="60">
        <f t="shared" si="7"/>
        <v>874869.80519115285</v>
      </c>
      <c r="J32" s="74">
        <f t="shared" si="1"/>
        <v>4</v>
      </c>
      <c r="K32" s="48">
        <f t="shared" si="8"/>
        <v>897134.94985387695</v>
      </c>
      <c r="L32" s="43">
        <f t="shared" si="2"/>
        <v>-27185.907571329604</v>
      </c>
      <c r="M32" s="75">
        <f t="shared" si="3"/>
        <v>869949.04228254734</v>
      </c>
      <c r="N32" s="32"/>
      <c r="O32" s="76">
        <f t="shared" si="9"/>
        <v>-114287.64</v>
      </c>
      <c r="P32" s="39">
        <f t="shared" si="9"/>
        <v>10464.772623287125</v>
      </c>
      <c r="Q32" s="88">
        <f t="shared" si="10"/>
        <v>108743.63028531842</v>
      </c>
      <c r="R32" s="86"/>
    </row>
    <row r="33" spans="2:18" x14ac:dyDescent="0.45">
      <c r="B33" s="7"/>
      <c r="C33" s="19">
        <f t="shared" si="11"/>
        <v>43872</v>
      </c>
      <c r="D33" s="26">
        <f t="shared" si="4"/>
        <v>5</v>
      </c>
      <c r="E33" s="34">
        <f t="shared" si="5"/>
        <v>874869.80519115285</v>
      </c>
      <c r="F33" s="43">
        <f t="shared" si="6"/>
        <v>-28571.91</v>
      </c>
      <c r="G33" s="47">
        <f t="shared" si="0"/>
        <v>2429.6355432615392</v>
      </c>
      <c r="H33" s="60">
        <f t="shared" si="7"/>
        <v>848727.53073441435</v>
      </c>
      <c r="J33" s="74">
        <f t="shared" si="1"/>
        <v>5</v>
      </c>
      <c r="K33" s="48">
        <f t="shared" si="8"/>
        <v>869949.04228254734</v>
      </c>
      <c r="L33" s="43">
        <f t="shared" si="2"/>
        <v>-27185.907571329604</v>
      </c>
      <c r="M33" s="75">
        <f t="shared" si="3"/>
        <v>842763.13471121772</v>
      </c>
      <c r="N33" s="32"/>
      <c r="O33" s="76">
        <f t="shared" si="9"/>
        <v>-142859.54999999999</v>
      </c>
      <c r="P33" s="39">
        <f t="shared" si="9"/>
        <v>12894.408166548663</v>
      </c>
      <c r="Q33" s="88">
        <f t="shared" si="10"/>
        <v>135929.53785664804</v>
      </c>
      <c r="R33" s="86"/>
    </row>
    <row r="34" spans="2:18" x14ac:dyDescent="0.45">
      <c r="B34" s="7"/>
      <c r="C34" s="19">
        <f t="shared" si="11"/>
        <v>43901</v>
      </c>
      <c r="D34" s="26">
        <f t="shared" si="4"/>
        <v>6</v>
      </c>
      <c r="E34" s="34">
        <f t="shared" si="5"/>
        <v>848727.53073441435</v>
      </c>
      <c r="F34" s="43">
        <f t="shared" si="6"/>
        <v>-28571.91</v>
      </c>
      <c r="G34" s="47">
        <f t="shared" si="0"/>
        <v>2354.5837210099385</v>
      </c>
      <c r="H34" s="60">
        <f t="shared" si="7"/>
        <v>822510.20445542422</v>
      </c>
      <c r="J34" s="74">
        <f t="shared" si="1"/>
        <v>6</v>
      </c>
      <c r="K34" s="48">
        <f t="shared" si="8"/>
        <v>842763.13471121772</v>
      </c>
      <c r="L34" s="43">
        <f t="shared" si="2"/>
        <v>-27185.907571329604</v>
      </c>
      <c r="M34" s="75">
        <f t="shared" si="3"/>
        <v>815577.2271398881</v>
      </c>
      <c r="N34" s="32"/>
      <c r="O34" s="76">
        <f t="shared" si="9"/>
        <v>-171431.46</v>
      </c>
      <c r="P34" s="39">
        <f t="shared" si="9"/>
        <v>15248.991887558601</v>
      </c>
      <c r="Q34" s="88">
        <f t="shared" si="10"/>
        <v>163115.44542797765</v>
      </c>
      <c r="R34" s="86"/>
    </row>
    <row r="35" spans="2:18" x14ac:dyDescent="0.45">
      <c r="B35" s="7"/>
      <c r="C35" s="19">
        <f t="shared" si="11"/>
        <v>43932</v>
      </c>
      <c r="D35" s="26">
        <f t="shared" si="4"/>
        <v>7</v>
      </c>
      <c r="E35" s="34">
        <f t="shared" si="5"/>
        <v>822510.20445542422</v>
      </c>
      <c r="F35" s="43">
        <f t="shared" si="6"/>
        <v>-28571.91</v>
      </c>
      <c r="G35" s="47">
        <f t="shared" si="0"/>
        <v>2279.3164325779712</v>
      </c>
      <c r="H35" s="60">
        <f t="shared" si="7"/>
        <v>796217.61088800221</v>
      </c>
      <c r="J35" s="74">
        <f t="shared" si="1"/>
        <v>7</v>
      </c>
      <c r="K35" s="48">
        <f t="shared" si="8"/>
        <v>815577.2271398881</v>
      </c>
      <c r="L35" s="43">
        <f t="shared" si="2"/>
        <v>-27185.907571329604</v>
      </c>
      <c r="M35" s="75">
        <f t="shared" si="3"/>
        <v>788391.31956855848</v>
      </c>
      <c r="N35" s="32"/>
      <c r="O35" s="76">
        <f t="shared" si="9"/>
        <v>-200003.37</v>
      </c>
      <c r="P35" s="39">
        <f t="shared" si="9"/>
        <v>17528.308320136573</v>
      </c>
      <c r="Q35" s="88">
        <f t="shared" si="10"/>
        <v>190301.35299930727</v>
      </c>
      <c r="R35" s="86"/>
    </row>
    <row r="36" spans="2:18" x14ac:dyDescent="0.45">
      <c r="B36" s="7"/>
      <c r="C36" s="19">
        <f t="shared" si="11"/>
        <v>43962</v>
      </c>
      <c r="D36" s="26">
        <f t="shared" si="4"/>
        <v>8</v>
      </c>
      <c r="E36" s="34">
        <f t="shared" si="5"/>
        <v>796217.61088800221</v>
      </c>
      <c r="F36" s="43">
        <f t="shared" si="6"/>
        <v>-28571.91</v>
      </c>
      <c r="G36" s="47">
        <f t="shared" si="0"/>
        <v>2203.8330593840565</v>
      </c>
      <c r="H36" s="60">
        <f t="shared" si="7"/>
        <v>769849.5339473862</v>
      </c>
      <c r="J36" s="74">
        <f t="shared" si="1"/>
        <v>8</v>
      </c>
      <c r="K36" s="48">
        <f t="shared" si="8"/>
        <v>788391.31956855848</v>
      </c>
      <c r="L36" s="43">
        <f t="shared" si="2"/>
        <v>-27185.907571329604</v>
      </c>
      <c r="M36" s="75">
        <f t="shared" si="3"/>
        <v>761205.41199722886</v>
      </c>
      <c r="N36" s="32"/>
      <c r="O36" s="76">
        <f t="shared" si="9"/>
        <v>-228575.28</v>
      </c>
      <c r="P36" s="39">
        <f t="shared" si="9"/>
        <v>19732.141379520632</v>
      </c>
      <c r="Q36" s="88">
        <f t="shared" si="10"/>
        <v>217487.26057063689</v>
      </c>
      <c r="R36" s="86"/>
    </row>
    <row r="37" spans="2:18" x14ac:dyDescent="0.45">
      <c r="B37" s="7"/>
      <c r="C37" s="19">
        <f t="shared" si="11"/>
        <v>43993</v>
      </c>
      <c r="D37" s="26">
        <f t="shared" si="4"/>
        <v>9</v>
      </c>
      <c r="E37" s="34">
        <f t="shared" si="5"/>
        <v>769849.5339473862</v>
      </c>
      <c r="F37" s="43">
        <f t="shared" si="6"/>
        <v>-28571.91</v>
      </c>
      <c r="G37" s="47">
        <f t="shared" si="0"/>
        <v>2128.132981070728</v>
      </c>
      <c r="H37" s="60">
        <f t="shared" si="7"/>
        <v>743405.75692845695</v>
      </c>
      <c r="J37" s="74">
        <f t="shared" si="1"/>
        <v>9</v>
      </c>
      <c r="K37" s="48">
        <f t="shared" si="8"/>
        <v>761205.41199722886</v>
      </c>
      <c r="L37" s="43">
        <f t="shared" si="2"/>
        <v>-27185.907571329604</v>
      </c>
      <c r="M37" s="75">
        <f t="shared" si="3"/>
        <v>734019.50442589924</v>
      </c>
      <c r="N37" s="32"/>
      <c r="O37" s="76">
        <f t="shared" si="9"/>
        <v>-257147.19</v>
      </c>
      <c r="P37" s="39">
        <f t="shared" si="9"/>
        <v>21860.27436059136</v>
      </c>
      <c r="Q37" s="88">
        <f t="shared" si="10"/>
        <v>244673.16814196651</v>
      </c>
      <c r="R37" s="86"/>
    </row>
    <row r="38" spans="2:18" x14ac:dyDescent="0.45">
      <c r="B38" s="7"/>
      <c r="C38" s="19">
        <f t="shared" si="11"/>
        <v>44023</v>
      </c>
      <c r="D38" s="26">
        <f t="shared" si="4"/>
        <v>10</v>
      </c>
      <c r="E38" s="34">
        <f t="shared" si="5"/>
        <v>743405.75692845695</v>
      </c>
      <c r="F38" s="43">
        <f t="shared" si="6"/>
        <v>-28571.91</v>
      </c>
      <c r="G38" s="47">
        <f t="shared" si="0"/>
        <v>2052.2155754995356</v>
      </c>
      <c r="H38" s="60">
        <f t="shared" si="7"/>
        <v>716886.06250395649</v>
      </c>
      <c r="J38" s="74">
        <f t="shared" si="1"/>
        <v>10</v>
      </c>
      <c r="K38" s="48">
        <f t="shared" si="8"/>
        <v>734019.50442589924</v>
      </c>
      <c r="L38" s="43">
        <f t="shared" si="2"/>
        <v>-27185.907571329604</v>
      </c>
      <c r="M38" s="75">
        <f t="shared" si="3"/>
        <v>706833.59685456962</v>
      </c>
      <c r="N38" s="32"/>
      <c r="O38" s="76">
        <f t="shared" si="9"/>
        <v>-285719.09999999998</v>
      </c>
      <c r="P38" s="39">
        <f t="shared" si="9"/>
        <v>23912.489936090897</v>
      </c>
      <c r="Q38" s="88">
        <f t="shared" si="10"/>
        <v>271859.07571329613</v>
      </c>
      <c r="R38" s="87"/>
    </row>
    <row r="39" spans="2:18" x14ac:dyDescent="0.45">
      <c r="B39" s="7"/>
      <c r="C39" s="19">
        <f t="shared" si="11"/>
        <v>44054</v>
      </c>
      <c r="D39" s="26">
        <f t="shared" si="4"/>
        <v>11</v>
      </c>
      <c r="E39" s="34">
        <f t="shared" si="5"/>
        <v>716886.06250395649</v>
      </c>
      <c r="F39" s="43">
        <f t="shared" si="6"/>
        <v>-28571.91</v>
      </c>
      <c r="G39" s="47">
        <f t="shared" si="0"/>
        <v>1976.0802187459331</v>
      </c>
      <c r="H39" s="60">
        <f t="shared" si="7"/>
        <v>690290.23272270244</v>
      </c>
      <c r="J39" s="74">
        <f t="shared" si="1"/>
        <v>11</v>
      </c>
      <c r="K39" s="48">
        <f t="shared" si="8"/>
        <v>706833.59685456962</v>
      </c>
      <c r="L39" s="43">
        <f t="shared" si="2"/>
        <v>-27185.907571329604</v>
      </c>
      <c r="M39" s="75">
        <f t="shared" si="3"/>
        <v>679647.68928324</v>
      </c>
      <c r="N39" s="32"/>
      <c r="O39" s="76">
        <f t="shared" si="9"/>
        <v>-314291.00999999995</v>
      </c>
      <c r="P39" s="39">
        <f t="shared" si="9"/>
        <v>25888.570154836831</v>
      </c>
      <c r="Q39" s="88">
        <f t="shared" si="10"/>
        <v>299044.98328462575</v>
      </c>
      <c r="R39" s="87"/>
    </row>
    <row r="40" spans="2:18" x14ac:dyDescent="0.45">
      <c r="B40" s="7"/>
      <c r="C40" s="19">
        <f t="shared" si="11"/>
        <v>44085</v>
      </c>
      <c r="D40" s="26">
        <f t="shared" si="4"/>
        <v>12</v>
      </c>
      <c r="E40" s="34">
        <f t="shared" si="5"/>
        <v>690290.23272270244</v>
      </c>
      <c r="F40" s="43">
        <f t="shared" si="6"/>
        <v>-28571.91</v>
      </c>
      <c r="G40" s="47">
        <f t="shared" si="0"/>
        <v>1899.7262850941504</v>
      </c>
      <c r="H40" s="60">
        <f t="shared" si="7"/>
        <v>663618.04900779657</v>
      </c>
      <c r="J40" s="74">
        <f t="shared" si="1"/>
        <v>12</v>
      </c>
      <c r="K40" s="48">
        <f t="shared" si="8"/>
        <v>679647.68928324</v>
      </c>
      <c r="L40" s="43">
        <f t="shared" si="2"/>
        <v>-27185.907571329604</v>
      </c>
      <c r="M40" s="75">
        <f t="shared" si="3"/>
        <v>652461.78171191039</v>
      </c>
      <c r="N40" s="32"/>
      <c r="O40" s="76">
        <f t="shared" si="9"/>
        <v>-342862.91999999993</v>
      </c>
      <c r="P40" s="39">
        <f t="shared" si="9"/>
        <v>27788.296439930982</v>
      </c>
      <c r="Q40" s="88">
        <f t="shared" si="10"/>
        <v>326230.89085595537</v>
      </c>
      <c r="R40" s="87"/>
    </row>
    <row r="41" spans="2:18" x14ac:dyDescent="0.45">
      <c r="B41" s="7"/>
      <c r="C41" s="19">
        <f t="shared" si="11"/>
        <v>44115</v>
      </c>
      <c r="D41" s="26">
        <f t="shared" si="4"/>
        <v>13</v>
      </c>
      <c r="E41" s="34">
        <f t="shared" si="5"/>
        <v>663618.04900779657</v>
      </c>
      <c r="F41" s="43">
        <f t="shared" si="6"/>
        <v>-28571.91</v>
      </c>
      <c r="G41" s="47">
        <f t="shared" ref="G41:G64" si="12">((E41+F41)*($F$16))</f>
        <v>1823.1531470320504</v>
      </c>
      <c r="H41" s="60">
        <f t="shared" si="7"/>
        <v>636869.29215482855</v>
      </c>
      <c r="J41" s="74">
        <f t="shared" si="1"/>
        <v>13</v>
      </c>
      <c r="K41" s="48">
        <f t="shared" si="8"/>
        <v>652461.78171191039</v>
      </c>
      <c r="L41" s="43">
        <f t="shared" ref="L41:L64" si="13">-$M$22/$F$12</f>
        <v>-27185.907571329604</v>
      </c>
      <c r="M41" s="75">
        <f t="shared" si="3"/>
        <v>625275.87414058077</v>
      </c>
      <c r="N41" s="32"/>
      <c r="O41" s="76">
        <f t="shared" si="9"/>
        <v>-371434.8299999999</v>
      </c>
      <c r="P41" s="39">
        <f t="shared" si="9"/>
        <v>29611.449586963034</v>
      </c>
      <c r="Q41" s="88">
        <f t="shared" si="10"/>
        <v>353416.79842728499</v>
      </c>
      <c r="R41" s="87"/>
    </row>
    <row r="42" spans="2:18" x14ac:dyDescent="0.45">
      <c r="B42" s="7"/>
      <c r="C42" s="19">
        <f t="shared" si="11"/>
        <v>44146</v>
      </c>
      <c r="D42" s="26">
        <f t="shared" si="4"/>
        <v>14</v>
      </c>
      <c r="E42" s="34">
        <f t="shared" si="5"/>
        <v>636869.29215482855</v>
      </c>
      <c r="F42" s="43">
        <f t="shared" si="6"/>
        <v>-28571.91</v>
      </c>
      <c r="G42" s="47">
        <f t="shared" si="12"/>
        <v>1746.360175245972</v>
      </c>
      <c r="H42" s="60">
        <f t="shared" si="7"/>
        <v>610043.74233007454</v>
      </c>
      <c r="J42" s="74">
        <f t="shared" si="1"/>
        <v>14</v>
      </c>
      <c r="K42" s="48">
        <f t="shared" si="8"/>
        <v>625275.87414058077</v>
      </c>
      <c r="L42" s="43">
        <f t="shared" si="13"/>
        <v>-27185.907571329604</v>
      </c>
      <c r="M42" s="75">
        <f t="shared" si="3"/>
        <v>598089.96656925115</v>
      </c>
      <c r="N42" s="32"/>
      <c r="O42" s="76">
        <f t="shared" si="9"/>
        <v>-400006.73999999987</v>
      </c>
      <c r="P42" s="39">
        <f t="shared" si="9"/>
        <v>31357.809762209006</v>
      </c>
      <c r="Q42" s="88">
        <f t="shared" si="10"/>
        <v>380602.70599861461</v>
      </c>
      <c r="R42" s="87"/>
    </row>
    <row r="43" spans="2:18" x14ac:dyDescent="0.45">
      <c r="B43" s="7"/>
      <c r="C43" s="19">
        <f t="shared" si="11"/>
        <v>44176</v>
      </c>
      <c r="D43" s="26">
        <f t="shared" si="4"/>
        <v>15</v>
      </c>
      <c r="E43" s="34">
        <f t="shared" si="5"/>
        <v>610043.74233007454</v>
      </c>
      <c r="F43" s="43">
        <f t="shared" si="6"/>
        <v>-28571.91</v>
      </c>
      <c r="G43" s="47">
        <f t="shared" si="12"/>
        <v>1669.3467386155589</v>
      </c>
      <c r="H43" s="60">
        <f t="shared" si="7"/>
        <v>583141.17906869005</v>
      </c>
      <c r="J43" s="74">
        <f t="shared" si="1"/>
        <v>15</v>
      </c>
      <c r="K43" s="48">
        <f t="shared" si="8"/>
        <v>598089.96656925115</v>
      </c>
      <c r="L43" s="43">
        <f t="shared" si="13"/>
        <v>-27185.907571329604</v>
      </c>
      <c r="M43" s="75">
        <f t="shared" si="3"/>
        <v>570904.05899792153</v>
      </c>
      <c r="N43" s="32"/>
      <c r="O43" s="76">
        <f t="shared" si="9"/>
        <v>-428578.64999999985</v>
      </c>
      <c r="P43" s="39">
        <f t="shared" si="9"/>
        <v>33027.156500824567</v>
      </c>
      <c r="Q43" s="88">
        <f t="shared" si="10"/>
        <v>407788.61356994422</v>
      </c>
      <c r="R43" s="87"/>
    </row>
    <row r="44" spans="2:18" x14ac:dyDescent="0.45">
      <c r="B44" s="7"/>
      <c r="C44" s="19">
        <f t="shared" si="11"/>
        <v>44207</v>
      </c>
      <c r="D44" s="26">
        <f t="shared" si="4"/>
        <v>16</v>
      </c>
      <c r="E44" s="34">
        <f t="shared" si="5"/>
        <v>583141.17906869005</v>
      </c>
      <c r="F44" s="43">
        <f t="shared" si="6"/>
        <v>-28571.91</v>
      </c>
      <c r="G44" s="47">
        <f t="shared" si="12"/>
        <v>1592.1122042085719</v>
      </c>
      <c r="H44" s="60">
        <f t="shared" si="7"/>
        <v>556161.38127289864</v>
      </c>
      <c r="J44" s="74">
        <f t="shared" si="1"/>
        <v>16</v>
      </c>
      <c r="K44" s="48">
        <f t="shared" si="8"/>
        <v>570904.05899792153</v>
      </c>
      <c r="L44" s="43">
        <f t="shared" si="13"/>
        <v>-27185.907571329604</v>
      </c>
      <c r="M44" s="75">
        <f t="shared" si="3"/>
        <v>543718.15142659191</v>
      </c>
      <c r="N44" s="32"/>
      <c r="O44" s="76">
        <f t="shared" si="9"/>
        <v>-457150.55999999982</v>
      </c>
      <c r="P44" s="39">
        <f t="shared" si="9"/>
        <v>34619.268705033137</v>
      </c>
      <c r="Q44" s="88">
        <f t="shared" si="10"/>
        <v>434974.52114127384</v>
      </c>
      <c r="R44" s="87"/>
    </row>
    <row r="45" spans="2:18" x14ac:dyDescent="0.45">
      <c r="B45" s="7"/>
      <c r="C45" s="19">
        <f t="shared" si="11"/>
        <v>44238</v>
      </c>
      <c r="D45" s="26">
        <f t="shared" si="4"/>
        <v>17</v>
      </c>
      <c r="E45" s="34">
        <f t="shared" si="5"/>
        <v>556161.38127289864</v>
      </c>
      <c r="F45" s="43">
        <f t="shared" si="6"/>
        <v>-28571.91</v>
      </c>
      <c r="G45" s="47">
        <f t="shared" si="12"/>
        <v>1514.6559372756876</v>
      </c>
      <c r="H45" s="60">
        <f t="shared" si="7"/>
        <v>529104.12721017434</v>
      </c>
      <c r="J45" s="74">
        <f t="shared" si="1"/>
        <v>17</v>
      </c>
      <c r="K45" s="48">
        <f t="shared" si="8"/>
        <v>543718.15142659191</v>
      </c>
      <c r="L45" s="43">
        <f t="shared" si="13"/>
        <v>-27185.907571329604</v>
      </c>
      <c r="M45" s="75">
        <f t="shared" si="3"/>
        <v>516532.24385526229</v>
      </c>
      <c r="N45" s="32"/>
      <c r="O45" s="76">
        <f t="shared" si="9"/>
        <v>-485722.4699999998</v>
      </c>
      <c r="P45" s="39">
        <f t="shared" si="9"/>
        <v>36133.924642308826</v>
      </c>
      <c r="Q45" s="88">
        <f t="shared" si="10"/>
        <v>462160.42871260346</v>
      </c>
      <c r="R45" s="87"/>
    </row>
    <row r="46" spans="2:18" x14ac:dyDescent="0.45">
      <c r="B46" s="7"/>
      <c r="C46" s="19">
        <f t="shared" si="11"/>
        <v>44266</v>
      </c>
      <c r="D46" s="26">
        <f t="shared" si="4"/>
        <v>18</v>
      </c>
      <c r="E46" s="34">
        <f t="shared" si="5"/>
        <v>529104.12721017434</v>
      </c>
      <c r="F46" s="43">
        <f t="shared" si="6"/>
        <v>-28571.91</v>
      </c>
      <c r="G46" s="47">
        <f t="shared" si="12"/>
        <v>1436.9773012452813</v>
      </c>
      <c r="H46" s="60">
        <f t="shared" si="7"/>
        <v>501969.19451141963</v>
      </c>
      <c r="J46" s="74">
        <f t="shared" si="1"/>
        <v>18</v>
      </c>
      <c r="K46" s="48">
        <f t="shared" si="8"/>
        <v>516532.24385526229</v>
      </c>
      <c r="L46" s="43">
        <f t="shared" si="13"/>
        <v>-27185.907571329604</v>
      </c>
      <c r="M46" s="75">
        <f t="shared" si="3"/>
        <v>489346.33628393267</v>
      </c>
      <c r="N46" s="32"/>
      <c r="O46" s="76">
        <f t="shared" ref="O46:P61" si="14">+O45+F46</f>
        <v>-514294.37999999977</v>
      </c>
      <c r="P46" s="39">
        <f t="shared" si="14"/>
        <v>37570.901943554105</v>
      </c>
      <c r="Q46" s="88">
        <f t="shared" si="10"/>
        <v>489346.33628393308</v>
      </c>
      <c r="R46" s="87"/>
    </row>
    <row r="47" spans="2:18" x14ac:dyDescent="0.45">
      <c r="B47" s="7"/>
      <c r="C47" s="19">
        <f t="shared" si="11"/>
        <v>44297</v>
      </c>
      <c r="D47" s="26">
        <f t="shared" si="4"/>
        <v>19</v>
      </c>
      <c r="E47" s="34">
        <f t="shared" si="5"/>
        <v>501969.19451141963</v>
      </c>
      <c r="F47" s="43">
        <f t="shared" si="6"/>
        <v>-28571.91</v>
      </c>
      <c r="G47" s="47">
        <f t="shared" si="12"/>
        <v>1359.0756577181953</v>
      </c>
      <c r="H47" s="60">
        <f t="shared" si="7"/>
        <v>474756.36016913783</v>
      </c>
      <c r="J47" s="74">
        <f t="shared" si="1"/>
        <v>19</v>
      </c>
      <c r="K47" s="48">
        <f t="shared" si="8"/>
        <v>489346.33628393267</v>
      </c>
      <c r="L47" s="43">
        <f t="shared" si="13"/>
        <v>-27185.907571329604</v>
      </c>
      <c r="M47" s="75">
        <f t="shared" si="3"/>
        <v>462160.42871260305</v>
      </c>
      <c r="N47" s="32"/>
      <c r="O47" s="76">
        <f t="shared" si="14"/>
        <v>-542866.2899999998</v>
      </c>
      <c r="P47" s="39">
        <f t="shared" si="14"/>
        <v>38929.977601272301</v>
      </c>
      <c r="Q47" s="88">
        <f t="shared" si="10"/>
        <v>516532.2438552627</v>
      </c>
      <c r="R47" s="87"/>
    </row>
    <row r="48" spans="2:18" x14ac:dyDescent="0.45">
      <c r="B48" s="7"/>
      <c r="C48" s="19">
        <f t="shared" si="11"/>
        <v>44327</v>
      </c>
      <c r="D48" s="26">
        <f t="shared" si="4"/>
        <v>20</v>
      </c>
      <c r="E48" s="34">
        <f t="shared" si="5"/>
        <v>474756.36016913783</v>
      </c>
      <c r="F48" s="43">
        <f t="shared" si="6"/>
        <v>-28571.91</v>
      </c>
      <c r="G48" s="47">
        <f t="shared" si="12"/>
        <v>1280.9503664624938</v>
      </c>
      <c r="H48" s="60">
        <f t="shared" si="7"/>
        <v>447465.40053560038</v>
      </c>
      <c r="J48" s="74">
        <f t="shared" si="1"/>
        <v>20</v>
      </c>
      <c r="K48" s="48">
        <f t="shared" si="8"/>
        <v>462160.42871260305</v>
      </c>
      <c r="L48" s="43">
        <f t="shared" si="13"/>
        <v>-27185.907571329604</v>
      </c>
      <c r="M48" s="75">
        <f t="shared" si="3"/>
        <v>434974.52114127344</v>
      </c>
      <c r="N48" s="32"/>
      <c r="O48" s="76">
        <f t="shared" si="14"/>
        <v>-571438.19999999984</v>
      </c>
      <c r="P48" s="39">
        <f t="shared" si="14"/>
        <v>40210.927967734795</v>
      </c>
      <c r="Q48" s="88">
        <f t="shared" si="10"/>
        <v>543718.15142659226</v>
      </c>
      <c r="R48" s="87"/>
    </row>
    <row r="49" spans="2:18" x14ac:dyDescent="0.45">
      <c r="B49" s="7"/>
      <c r="C49" s="19">
        <f t="shared" si="11"/>
        <v>44358</v>
      </c>
      <c r="D49" s="26">
        <f t="shared" si="4"/>
        <v>21</v>
      </c>
      <c r="E49" s="34">
        <f t="shared" si="5"/>
        <v>447465.40053560038</v>
      </c>
      <c r="F49" s="43">
        <f t="shared" si="6"/>
        <v>-28571.91</v>
      </c>
      <c r="G49" s="47">
        <f t="shared" si="12"/>
        <v>1202.6007854081988</v>
      </c>
      <c r="H49" s="60">
        <f t="shared" si="7"/>
        <v>420096.09132100863</v>
      </c>
      <c r="J49" s="74">
        <f t="shared" si="1"/>
        <v>21</v>
      </c>
      <c r="K49" s="48">
        <f t="shared" si="8"/>
        <v>434974.52114127344</v>
      </c>
      <c r="L49" s="43">
        <f t="shared" si="13"/>
        <v>-27185.907571329604</v>
      </c>
      <c r="M49" s="75">
        <f t="shared" si="3"/>
        <v>407788.61356994382</v>
      </c>
      <c r="N49" s="80"/>
      <c r="O49" s="76">
        <f t="shared" si="14"/>
        <v>-600010.10999999987</v>
      </c>
      <c r="P49" s="39">
        <f t="shared" si="14"/>
        <v>41413.528753142993</v>
      </c>
      <c r="Q49" s="88">
        <f t="shared" si="10"/>
        <v>570904.05899792188</v>
      </c>
      <c r="R49" s="87"/>
    </row>
    <row r="50" spans="2:18" x14ac:dyDescent="0.45">
      <c r="B50" s="7"/>
      <c r="C50" s="19">
        <f t="shared" si="11"/>
        <v>44388</v>
      </c>
      <c r="D50" s="26">
        <f t="shared" si="4"/>
        <v>22</v>
      </c>
      <c r="E50" s="34">
        <f t="shared" si="5"/>
        <v>420096.09132100863</v>
      </c>
      <c r="F50" s="43">
        <f t="shared" si="6"/>
        <v>-28571.91</v>
      </c>
      <c r="G50" s="47">
        <f t="shared" si="12"/>
        <v>1124.0262706420147</v>
      </c>
      <c r="H50" s="60">
        <f t="shared" si="7"/>
        <v>392648.20759165066</v>
      </c>
      <c r="J50" s="74">
        <f t="shared" si="1"/>
        <v>22</v>
      </c>
      <c r="K50" s="48">
        <f t="shared" si="8"/>
        <v>407788.61356994382</v>
      </c>
      <c r="L50" s="43">
        <f t="shared" si="13"/>
        <v>-27185.907571329604</v>
      </c>
      <c r="M50" s="75">
        <f t="shared" si="3"/>
        <v>380602.7059986142</v>
      </c>
      <c r="N50" s="32"/>
      <c r="O50" s="76">
        <f t="shared" si="14"/>
        <v>-628582.0199999999</v>
      </c>
      <c r="P50" s="39">
        <f t="shared" si="14"/>
        <v>42537.555023785011</v>
      </c>
      <c r="Q50" s="88">
        <f t="shared" si="10"/>
        <v>598089.9665692515</v>
      </c>
      <c r="R50" s="32"/>
    </row>
    <row r="51" spans="2:18" x14ac:dyDescent="0.45">
      <c r="B51" s="7"/>
      <c r="C51" s="19">
        <f t="shared" si="11"/>
        <v>44419</v>
      </c>
      <c r="D51" s="26">
        <f t="shared" si="4"/>
        <v>23</v>
      </c>
      <c r="E51" s="34">
        <f t="shared" si="5"/>
        <v>392648.20759165066</v>
      </c>
      <c r="F51" s="43">
        <f t="shared" si="6"/>
        <v>-28571.91</v>
      </c>
      <c r="G51" s="47">
        <f t="shared" si="12"/>
        <v>1045.2261764020363</v>
      </c>
      <c r="H51" s="60">
        <f t="shared" si="7"/>
        <v>365121.52376805269</v>
      </c>
      <c r="J51" s="74">
        <f t="shared" si="1"/>
        <v>23</v>
      </c>
      <c r="K51" s="48">
        <f t="shared" si="8"/>
        <v>380602.7059986142</v>
      </c>
      <c r="L51" s="43">
        <f t="shared" si="13"/>
        <v>-27185.907571329604</v>
      </c>
      <c r="M51" s="75">
        <f t="shared" si="3"/>
        <v>353416.79842728458</v>
      </c>
      <c r="N51" s="32"/>
      <c r="O51" s="76">
        <f t="shared" si="14"/>
        <v>-657153.92999999993</v>
      </c>
      <c r="P51" s="39">
        <f t="shared" si="14"/>
        <v>43582.781200187048</v>
      </c>
      <c r="Q51" s="88">
        <f t="shared" si="10"/>
        <v>625275.87414058112</v>
      </c>
      <c r="R51" s="32"/>
    </row>
    <row r="52" spans="2:18" x14ac:dyDescent="0.45">
      <c r="B52" s="7"/>
      <c r="C52" s="19">
        <f t="shared" si="11"/>
        <v>44450</v>
      </c>
      <c r="D52" s="26">
        <f t="shared" si="4"/>
        <v>24</v>
      </c>
      <c r="E52" s="34">
        <f t="shared" si="5"/>
        <v>365121.52376805269</v>
      </c>
      <c r="F52" s="43">
        <f t="shared" si="6"/>
        <v>-28571.91</v>
      </c>
      <c r="G52" s="47">
        <f t="shared" si="12"/>
        <v>966.19985507244121</v>
      </c>
      <c r="H52" s="60">
        <f t="shared" si="7"/>
        <v>337515.81362312514</v>
      </c>
      <c r="J52" s="74">
        <f t="shared" si="1"/>
        <v>24</v>
      </c>
      <c r="K52" s="48">
        <f t="shared" si="8"/>
        <v>353416.79842728458</v>
      </c>
      <c r="L52" s="43">
        <f t="shared" si="13"/>
        <v>-27185.907571329604</v>
      </c>
      <c r="M52" s="75">
        <f t="shared" si="3"/>
        <v>326230.89085595496</v>
      </c>
      <c r="N52" s="32"/>
      <c r="O52" s="76">
        <f t="shared" si="14"/>
        <v>-685725.84</v>
      </c>
      <c r="P52" s="39">
        <f t="shared" si="14"/>
        <v>44548.981055259486</v>
      </c>
      <c r="Q52" s="88">
        <f t="shared" si="10"/>
        <v>652461.78171191073</v>
      </c>
      <c r="R52" s="32"/>
    </row>
    <row r="53" spans="2:18" x14ac:dyDescent="0.45">
      <c r="B53" s="7"/>
      <c r="C53" s="19">
        <f t="shared" si="11"/>
        <v>44480</v>
      </c>
      <c r="D53" s="26">
        <f t="shared" si="4"/>
        <v>25</v>
      </c>
      <c r="E53" s="34">
        <f t="shared" si="5"/>
        <v>337515.81362312514</v>
      </c>
      <c r="F53" s="43">
        <f t="shared" si="6"/>
        <v>-28571.91</v>
      </c>
      <c r="G53" s="47">
        <f t="shared" si="12"/>
        <v>886.94665717816758</v>
      </c>
      <c r="H53" s="60">
        <f t="shared" si="7"/>
        <v>309830.85028030333</v>
      </c>
      <c r="J53" s="74">
        <f t="shared" si="1"/>
        <v>25</v>
      </c>
      <c r="K53" s="48">
        <f t="shared" si="8"/>
        <v>326230.89085595496</v>
      </c>
      <c r="L53" s="43">
        <f t="shared" si="13"/>
        <v>-27185.907571329604</v>
      </c>
      <c r="M53" s="75">
        <f t="shared" si="3"/>
        <v>299044.98328462534</v>
      </c>
      <c r="N53" s="32"/>
      <c r="O53" s="76">
        <f t="shared" si="14"/>
        <v>-714297.75</v>
      </c>
      <c r="P53" s="39">
        <f t="shared" si="14"/>
        <v>45435.927712437653</v>
      </c>
      <c r="Q53" s="88">
        <f t="shared" si="10"/>
        <v>679647.68928324035</v>
      </c>
      <c r="R53" s="32"/>
    </row>
    <row r="54" spans="2:18" x14ac:dyDescent="0.45">
      <c r="B54" s="7"/>
      <c r="C54" s="19">
        <f t="shared" si="11"/>
        <v>44511</v>
      </c>
      <c r="D54" s="26">
        <f t="shared" si="4"/>
        <v>26</v>
      </c>
      <c r="E54" s="34">
        <f t="shared" si="5"/>
        <v>309830.85028030333</v>
      </c>
      <c r="F54" s="43">
        <f t="shared" si="6"/>
        <v>-28571.91</v>
      </c>
      <c r="G54" s="47">
        <f t="shared" si="12"/>
        <v>807.46593137957666</v>
      </c>
      <c r="H54" s="60">
        <f t="shared" si="7"/>
        <v>282066.40621168294</v>
      </c>
      <c r="J54" s="74">
        <f t="shared" si="1"/>
        <v>26</v>
      </c>
      <c r="K54" s="48">
        <f t="shared" si="8"/>
        <v>299044.98328462534</v>
      </c>
      <c r="L54" s="43">
        <f t="shared" si="13"/>
        <v>-27185.907571329604</v>
      </c>
      <c r="M54" s="75">
        <f t="shared" si="3"/>
        <v>271859.07571329572</v>
      </c>
      <c r="N54" s="32"/>
      <c r="O54" s="76">
        <f t="shared" si="14"/>
        <v>-742869.66</v>
      </c>
      <c r="P54" s="39">
        <f t="shared" si="14"/>
        <v>46243.393643817231</v>
      </c>
      <c r="Q54" s="88">
        <f t="shared" si="10"/>
        <v>706833.59685456997</v>
      </c>
      <c r="R54" s="32"/>
    </row>
    <row r="55" spans="2:18" x14ac:dyDescent="0.45">
      <c r="B55" s="7"/>
      <c r="C55" s="19">
        <f t="shared" si="11"/>
        <v>44541</v>
      </c>
      <c r="D55" s="26">
        <f t="shared" si="4"/>
        <v>27</v>
      </c>
      <c r="E55" s="34">
        <f t="shared" si="5"/>
        <v>282066.40621168294</v>
      </c>
      <c r="F55" s="43">
        <f t="shared" si="6"/>
        <v>-28571.91</v>
      </c>
      <c r="G55" s="47">
        <f t="shared" si="12"/>
        <v>727.75702446709931</v>
      </c>
      <c r="H55" s="60">
        <f t="shared" si="7"/>
        <v>254222.25323615005</v>
      </c>
      <c r="J55" s="74">
        <f t="shared" si="1"/>
        <v>27</v>
      </c>
      <c r="K55" s="48">
        <f t="shared" si="8"/>
        <v>271859.07571329572</v>
      </c>
      <c r="L55" s="43">
        <f t="shared" si="13"/>
        <v>-27185.907571329604</v>
      </c>
      <c r="M55" s="75">
        <f t="shared" si="3"/>
        <v>244673.1681419661</v>
      </c>
      <c r="N55" s="32"/>
      <c r="O55" s="76">
        <f t="shared" si="14"/>
        <v>-771441.57000000007</v>
      </c>
      <c r="P55" s="39">
        <f t="shared" si="14"/>
        <v>46971.150668284332</v>
      </c>
      <c r="Q55" s="88">
        <f t="shared" si="10"/>
        <v>734019.50442589959</v>
      </c>
      <c r="R55" s="32"/>
    </row>
    <row r="56" spans="2:18" x14ac:dyDescent="0.45">
      <c r="B56" s="7"/>
      <c r="C56" s="19">
        <f t="shared" si="11"/>
        <v>44572</v>
      </c>
      <c r="D56" s="26">
        <f t="shared" si="4"/>
        <v>28</v>
      </c>
      <c r="E56" s="34">
        <f t="shared" si="5"/>
        <v>254222.25323615005</v>
      </c>
      <c r="F56" s="43">
        <f t="shared" si="6"/>
        <v>-28571.91</v>
      </c>
      <c r="G56" s="47">
        <f t="shared" si="12"/>
        <v>647.81928135586782</v>
      </c>
      <c r="H56" s="60">
        <f t="shared" si="7"/>
        <v>226298.1625175059</v>
      </c>
      <c r="J56" s="74">
        <f t="shared" si="1"/>
        <v>28</v>
      </c>
      <c r="K56" s="48">
        <f t="shared" si="8"/>
        <v>244673.1681419661</v>
      </c>
      <c r="L56" s="43">
        <f t="shared" si="13"/>
        <v>-27185.907571329604</v>
      </c>
      <c r="M56" s="75">
        <f t="shared" si="3"/>
        <v>217487.26057063648</v>
      </c>
      <c r="N56" s="32"/>
      <c r="O56" s="76">
        <f t="shared" si="14"/>
        <v>-800013.4800000001</v>
      </c>
      <c r="P56" s="39">
        <f t="shared" si="14"/>
        <v>47618.969949640203</v>
      </c>
      <c r="Q56" s="88">
        <f t="shared" si="10"/>
        <v>761205.41199722921</v>
      </c>
      <c r="R56" s="32"/>
    </row>
    <row r="57" spans="2:18" x14ac:dyDescent="0.45">
      <c r="B57" s="7"/>
      <c r="C57" s="19">
        <f t="shared" si="11"/>
        <v>44603</v>
      </c>
      <c r="D57" s="26">
        <f t="shared" si="4"/>
        <v>29</v>
      </c>
      <c r="E57" s="34">
        <f t="shared" si="5"/>
        <v>226298.1625175059</v>
      </c>
      <c r="F57" s="43">
        <f t="shared" si="6"/>
        <v>-28571.91</v>
      </c>
      <c r="G57" s="47">
        <f t="shared" si="12"/>
        <v>567.65204508033241</v>
      </c>
      <c r="H57" s="60">
        <f t="shared" si="7"/>
        <v>198293.90456258622</v>
      </c>
      <c r="J57" s="74">
        <f t="shared" si="1"/>
        <v>29</v>
      </c>
      <c r="K57" s="48">
        <f t="shared" si="8"/>
        <v>217487.26057063648</v>
      </c>
      <c r="L57" s="43">
        <f t="shared" si="13"/>
        <v>-27185.907571329604</v>
      </c>
      <c r="M57" s="75">
        <f t="shared" si="3"/>
        <v>190301.35299930687</v>
      </c>
      <c r="N57" s="32"/>
      <c r="O57" s="76">
        <f t="shared" si="14"/>
        <v>-828585.39000000013</v>
      </c>
      <c r="P57" s="39">
        <f t="shared" si="14"/>
        <v>48186.621994720532</v>
      </c>
      <c r="Q57" s="88">
        <f t="shared" si="10"/>
        <v>788391.31956855883</v>
      </c>
      <c r="R57" s="32"/>
    </row>
    <row r="58" spans="2:18" x14ac:dyDescent="0.45">
      <c r="B58" s="7"/>
      <c r="C58" s="19">
        <f t="shared" si="11"/>
        <v>44631</v>
      </c>
      <c r="D58" s="26">
        <f t="shared" si="4"/>
        <v>30</v>
      </c>
      <c r="E58" s="34">
        <f t="shared" si="5"/>
        <v>198293.90456258622</v>
      </c>
      <c r="F58" s="43">
        <f t="shared" si="6"/>
        <v>-28571.91</v>
      </c>
      <c r="G58" s="47">
        <f t="shared" si="12"/>
        <v>487.25465678886161</v>
      </c>
      <c r="H58" s="60">
        <f t="shared" si="7"/>
        <v>170209.24921937508</v>
      </c>
      <c r="J58" s="74">
        <f t="shared" si="1"/>
        <v>30</v>
      </c>
      <c r="K58" s="48">
        <f t="shared" si="8"/>
        <v>190301.35299930687</v>
      </c>
      <c r="L58" s="43">
        <f t="shared" si="13"/>
        <v>-27185.907571329604</v>
      </c>
      <c r="M58" s="75">
        <f t="shared" si="3"/>
        <v>163115.44542797725</v>
      </c>
      <c r="N58" s="32"/>
      <c r="O58" s="76">
        <f t="shared" si="14"/>
        <v>-857157.30000000016</v>
      </c>
      <c r="P58" s="39">
        <f t="shared" si="14"/>
        <v>48673.876651509396</v>
      </c>
      <c r="Q58" s="88">
        <f t="shared" si="10"/>
        <v>815577.22713988845</v>
      </c>
      <c r="R58" s="32"/>
    </row>
    <row r="59" spans="2:18" x14ac:dyDescent="0.45">
      <c r="B59" s="7"/>
      <c r="C59" s="19">
        <f t="shared" si="11"/>
        <v>44662</v>
      </c>
      <c r="D59" s="26">
        <f t="shared" si="4"/>
        <v>31</v>
      </c>
      <c r="E59" s="34">
        <f t="shared" si="5"/>
        <v>170209.24921937508</v>
      </c>
      <c r="F59" s="43">
        <f t="shared" si="6"/>
        <v>-28571.91</v>
      </c>
      <c r="G59" s="47">
        <f t="shared" si="12"/>
        <v>406.62645573832776</v>
      </c>
      <c r="H59" s="60">
        <f t="shared" si="7"/>
        <v>142043.9656751134</v>
      </c>
      <c r="J59" s="74">
        <f t="shared" si="1"/>
        <v>31</v>
      </c>
      <c r="K59" s="48">
        <f t="shared" si="8"/>
        <v>163115.44542797725</v>
      </c>
      <c r="L59" s="43">
        <f t="shared" si="13"/>
        <v>-27185.907571329604</v>
      </c>
      <c r="M59" s="75">
        <f t="shared" si="3"/>
        <v>135929.53785664763</v>
      </c>
      <c r="N59" s="32"/>
      <c r="O59" s="76">
        <f t="shared" si="14"/>
        <v>-885729.2100000002</v>
      </c>
      <c r="P59" s="39">
        <f t="shared" si="14"/>
        <v>49080.503107247721</v>
      </c>
      <c r="Q59" s="88">
        <f t="shared" si="10"/>
        <v>842763.13471121807</v>
      </c>
      <c r="R59" s="32"/>
    </row>
    <row r="60" spans="2:18" x14ac:dyDescent="0.45">
      <c r="B60" s="7"/>
      <c r="C60" s="19">
        <f t="shared" si="11"/>
        <v>44692</v>
      </c>
      <c r="D60" s="26">
        <f t="shared" si="4"/>
        <v>32</v>
      </c>
      <c r="E60" s="34">
        <f t="shared" si="5"/>
        <v>142043.9656751134</v>
      </c>
      <c r="F60" s="43">
        <f t="shared" si="6"/>
        <v>-28571.91</v>
      </c>
      <c r="G60" s="47">
        <f t="shared" si="12"/>
        <v>325.7667792886765</v>
      </c>
      <c r="H60" s="60">
        <f t="shared" si="7"/>
        <v>113797.82245440208</v>
      </c>
      <c r="J60" s="74">
        <f t="shared" si="1"/>
        <v>32</v>
      </c>
      <c r="K60" s="48">
        <f t="shared" si="8"/>
        <v>135929.53785664763</v>
      </c>
      <c r="L60" s="43">
        <f t="shared" si="13"/>
        <v>-27185.907571329604</v>
      </c>
      <c r="M60" s="75">
        <f t="shared" si="3"/>
        <v>108743.63028531802</v>
      </c>
      <c r="N60" s="32"/>
      <c r="O60" s="76">
        <f t="shared" si="14"/>
        <v>-914301.12000000023</v>
      </c>
      <c r="P60" s="39">
        <f t="shared" si="14"/>
        <v>49406.2698865364</v>
      </c>
      <c r="Q60" s="88">
        <f t="shared" si="10"/>
        <v>869949.04228254769</v>
      </c>
      <c r="R60" s="32"/>
    </row>
    <row r="61" spans="2:18" x14ac:dyDescent="0.45">
      <c r="B61" s="7"/>
      <c r="C61" s="19">
        <f t="shared" si="11"/>
        <v>44723</v>
      </c>
      <c r="D61" s="26">
        <f t="shared" si="4"/>
        <v>33</v>
      </c>
      <c r="E61" s="34">
        <f t="shared" si="5"/>
        <v>113797.82245440208</v>
      </c>
      <c r="F61" s="43">
        <f t="shared" si="6"/>
        <v>-28571.91</v>
      </c>
      <c r="G61" s="47">
        <f t="shared" si="12"/>
        <v>244.67496289748095</v>
      </c>
      <c r="H61" s="60">
        <f t="shared" si="7"/>
        <v>85470.587417299554</v>
      </c>
      <c r="J61" s="74">
        <f t="shared" si="1"/>
        <v>33</v>
      </c>
      <c r="K61" s="48">
        <f t="shared" si="8"/>
        <v>108743.63028531802</v>
      </c>
      <c r="L61" s="43">
        <f t="shared" si="13"/>
        <v>-27185.907571329604</v>
      </c>
      <c r="M61" s="75">
        <f t="shared" si="3"/>
        <v>81557.72271398842</v>
      </c>
      <c r="N61" s="32"/>
      <c r="O61" s="76">
        <f t="shared" si="14"/>
        <v>-942873.03000000026</v>
      </c>
      <c r="P61" s="39">
        <f t="shared" si="14"/>
        <v>49650.944849433879</v>
      </c>
      <c r="Q61" s="88">
        <f t="shared" si="10"/>
        <v>897134.9498538773</v>
      </c>
      <c r="R61" s="32"/>
    </row>
    <row r="62" spans="2:18" x14ac:dyDescent="0.45">
      <c r="B62" s="7"/>
      <c r="C62" s="19">
        <f t="shared" si="11"/>
        <v>44753</v>
      </c>
      <c r="D62" s="26">
        <f t="shared" si="4"/>
        <v>34</v>
      </c>
      <c r="E62" s="34">
        <f t="shared" si="5"/>
        <v>85470.587417299554</v>
      </c>
      <c r="F62" s="43">
        <f t="shared" si="6"/>
        <v>-28571.91</v>
      </c>
      <c r="G62" s="47">
        <f t="shared" si="12"/>
        <v>163.35034011448033</v>
      </c>
      <c r="H62" s="60">
        <f t="shared" si="7"/>
        <v>57062.027757414027</v>
      </c>
      <c r="J62" s="74">
        <f t="shared" si="1"/>
        <v>34</v>
      </c>
      <c r="K62" s="48">
        <f t="shared" si="8"/>
        <v>81557.72271398842</v>
      </c>
      <c r="L62" s="43">
        <f t="shared" si="13"/>
        <v>-27185.907571329604</v>
      </c>
      <c r="M62" s="75">
        <f t="shared" si="3"/>
        <v>54371.815142658816</v>
      </c>
      <c r="N62" s="32"/>
      <c r="O62" s="76">
        <f t="shared" ref="O62:P64" si="15">+O61+F62</f>
        <v>-971444.94000000029</v>
      </c>
      <c r="P62" s="39">
        <f t="shared" si="15"/>
        <v>49814.295189548357</v>
      </c>
      <c r="Q62" s="88">
        <f t="shared" si="10"/>
        <v>924320.85742520692</v>
      </c>
      <c r="R62" s="32"/>
    </row>
    <row r="63" spans="2:18" x14ac:dyDescent="0.45">
      <c r="B63" s="7"/>
      <c r="C63" s="19">
        <f t="shared" si="11"/>
        <v>44784</v>
      </c>
      <c r="D63" s="26">
        <f t="shared" si="4"/>
        <v>35</v>
      </c>
      <c r="E63" s="34">
        <f t="shared" si="5"/>
        <v>57062.027757414027</v>
      </c>
      <c r="F63" s="43">
        <f t="shared" si="6"/>
        <v>-28571.91</v>
      </c>
      <c r="G63" s="47">
        <f t="shared" si="12"/>
        <v>81.792242576102623</v>
      </c>
      <c r="H63" s="60">
        <f t="shared" si="7"/>
        <v>28571.90999999013</v>
      </c>
      <c r="J63" s="74">
        <f t="shared" si="1"/>
        <v>35</v>
      </c>
      <c r="K63" s="48">
        <f t="shared" si="8"/>
        <v>54371.815142658816</v>
      </c>
      <c r="L63" s="43">
        <f t="shared" si="13"/>
        <v>-27185.907571329604</v>
      </c>
      <c r="M63" s="75">
        <f t="shared" si="3"/>
        <v>27185.907571329211</v>
      </c>
      <c r="N63" s="32"/>
      <c r="O63" s="76">
        <f t="shared" si="15"/>
        <v>-1000016.8500000003</v>
      </c>
      <c r="P63" s="39">
        <f t="shared" si="15"/>
        <v>49896.087432124463</v>
      </c>
      <c r="Q63" s="88">
        <f t="shared" si="10"/>
        <v>951506.76499653654</v>
      </c>
      <c r="R63" s="32"/>
    </row>
    <row r="64" spans="2:18" x14ac:dyDescent="0.45">
      <c r="B64" s="7"/>
      <c r="C64" s="19">
        <f t="shared" si="11"/>
        <v>44815</v>
      </c>
      <c r="D64" s="26">
        <f t="shared" si="4"/>
        <v>36</v>
      </c>
      <c r="E64" s="34">
        <f t="shared" si="5"/>
        <v>28571.90999999013</v>
      </c>
      <c r="F64" s="43">
        <f t="shared" si="6"/>
        <v>-28571.91</v>
      </c>
      <c r="G64" s="47">
        <f t="shared" si="12"/>
        <v>-2.8335300975795436E-11</v>
      </c>
      <c r="H64" s="60">
        <f t="shared" si="7"/>
        <v>-9.8981718046156121E-9</v>
      </c>
      <c r="J64" s="74">
        <f t="shared" si="1"/>
        <v>36</v>
      </c>
      <c r="K64" s="48">
        <f t="shared" si="8"/>
        <v>27185.907571329211</v>
      </c>
      <c r="L64" s="43">
        <f t="shared" si="13"/>
        <v>-27185.907571329604</v>
      </c>
      <c r="M64" s="75">
        <f t="shared" si="3"/>
        <v>-3.92901711165905E-10</v>
      </c>
      <c r="N64" s="32"/>
      <c r="O64" s="76">
        <f t="shared" si="15"/>
        <v>-1028588.7600000004</v>
      </c>
      <c r="P64" s="39">
        <f t="shared" si="15"/>
        <v>49896.087432124434</v>
      </c>
      <c r="Q64" s="88">
        <f t="shared" si="10"/>
        <v>978692.67256786616</v>
      </c>
      <c r="R64" s="32"/>
    </row>
    <row r="65" spans="2:18" x14ac:dyDescent="0.45">
      <c r="B65" s="7"/>
      <c r="C65" s="19">
        <f t="shared" si="11"/>
        <v>44845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44876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44906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44937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44968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44996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45027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45057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45088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45118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45149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45180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45210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45241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45271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45302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45333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45362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45393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45423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45454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45484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45515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45546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45576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45607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45637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45668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45699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45727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6">DATE(YEAR(C94),MONTH(C94)+1,DAY(C94))</f>
        <v>45758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6"/>
        <v>45788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6"/>
        <v>45819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6"/>
        <v>45849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6"/>
        <v>45880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6"/>
        <v>45911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6"/>
        <v>45941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6"/>
        <v>45972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6"/>
        <v>46002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6"/>
        <v>46033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6"/>
        <v>46064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6"/>
        <v>46092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6"/>
        <v>46123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-1.0128132998943329E-8</v>
      </c>
      <c r="F110" s="43">
        <f>SUM(F29:F107)</f>
        <v>-1028588.7600000004</v>
      </c>
      <c r="G110" s="43">
        <f>SUM(G29:G107)</f>
        <v>49896.087432124434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570904.05899792153</v>
      </c>
      <c r="G116" s="119">
        <f>INDEX(M:M,MATCH(DATE(2021,12,DAY(D10)),C:C))</f>
        <v>244673.1681419661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-328918.9258325402</v>
      </c>
      <c r="G119" s="113">
        <f ca="1">IFERROR(SUM(INDIRECT("F"&amp;MATCH(DATE(2022,1,DAY(D10)),C:C)):INDIRECT("G"&amp;MATCH(DATE(2022,1,DAY(D10)),C:C)+11)),VALUE("0"))</f>
        <v>-254222.25323615992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-254222.25323615992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-257147.19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8CFCA-51E3-46BC-95C9-78AA17A15FA0}">
  <dimension ref="B1:R130"/>
  <sheetViews>
    <sheetView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95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14144.48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43790</v>
      </c>
      <c r="E10" s="12">
        <f>VLOOKUP($C$2,'Lease Summary'!D:H,4,FALSE)</f>
        <v>44885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11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14144.48</v>
      </c>
      <c r="G22" s="7" t="s">
        <v>229</v>
      </c>
      <c r="H22" s="53">
        <f>-PV(F16,F12,F22,0,1)</f>
        <v>484500.29883486009</v>
      </c>
      <c r="J22" s="17" t="s">
        <v>234</v>
      </c>
      <c r="K22" s="22"/>
      <c r="L22" s="7"/>
      <c r="M22" s="65">
        <f>H22</f>
        <v>484500.29883486009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43790</v>
      </c>
      <c r="D29" s="27">
        <v>1</v>
      </c>
      <c r="E29" s="33">
        <f>H22</f>
        <v>484500.29883486009</v>
      </c>
      <c r="F29" s="42">
        <f>-D7</f>
        <v>-14144.48</v>
      </c>
      <c r="G29" s="46">
        <f t="shared" ref="G29:G40" si="0">((E29+F29)*($F$16))</f>
        <v>1350.3439178032449</v>
      </c>
      <c r="H29" s="59">
        <f>SUM(E29:G29)</f>
        <v>471706.16275266337</v>
      </c>
      <c r="J29" s="69">
        <f t="shared" ref="J29:J64" si="1">D29</f>
        <v>1</v>
      </c>
      <c r="K29" s="70">
        <f>M22</f>
        <v>484500.29883486009</v>
      </c>
      <c r="L29" s="42">
        <f t="shared" ref="L29:L40" si="2">-$M$22/$F$12</f>
        <v>-13458.341634301669</v>
      </c>
      <c r="M29" s="71">
        <f t="shared" ref="M29:M64" si="3">K29+L29</f>
        <v>471041.95720055845</v>
      </c>
      <c r="N29" s="32"/>
      <c r="O29" s="72">
        <f>+F29</f>
        <v>-14144.48</v>
      </c>
      <c r="P29" s="73">
        <f>+G29</f>
        <v>1350.3439178032449</v>
      </c>
      <c r="Q29" s="71">
        <f>-L29</f>
        <v>13458.341634301669</v>
      </c>
      <c r="R29" s="85"/>
    </row>
    <row r="30" spans="2:18" x14ac:dyDescent="0.45">
      <c r="B30" s="7"/>
      <c r="C30" s="19">
        <f>DATE(YEAR(C29),MONTH(C29)+1,DAY(C29))</f>
        <v>43820</v>
      </c>
      <c r="D30" s="26">
        <f t="shared" ref="D30:D64" si="4">D29+1</f>
        <v>2</v>
      </c>
      <c r="E30" s="34">
        <f t="shared" ref="E30:E64" si="5">H29</f>
        <v>471706.16275266337</v>
      </c>
      <c r="F30" s="43">
        <f t="shared" ref="F30:F64" si="6">F29</f>
        <v>-14144.48</v>
      </c>
      <c r="G30" s="47">
        <f t="shared" si="0"/>
        <v>1313.6132489131742</v>
      </c>
      <c r="H30" s="60">
        <f t="shared" ref="H30:H64" si="7">SUM(E30:G30)</f>
        <v>458875.29600157659</v>
      </c>
      <c r="J30" s="74">
        <f t="shared" si="1"/>
        <v>2</v>
      </c>
      <c r="K30" s="48">
        <f t="shared" ref="K30:K64" si="8">M29</f>
        <v>471041.95720055845</v>
      </c>
      <c r="L30" s="43">
        <f t="shared" si="2"/>
        <v>-13458.341634301669</v>
      </c>
      <c r="M30" s="75">
        <f t="shared" si="3"/>
        <v>457583.61556625681</v>
      </c>
      <c r="N30" s="32"/>
      <c r="O30" s="76">
        <f t="shared" ref="O30:P45" si="9">+O29+F30</f>
        <v>-28288.959999999999</v>
      </c>
      <c r="P30" s="77">
        <f t="shared" si="9"/>
        <v>2663.9571667164191</v>
      </c>
      <c r="Q30" s="75">
        <f t="shared" ref="Q30:Q64" si="10">+Q29-L30</f>
        <v>26916.683268603338</v>
      </c>
      <c r="R30" s="86"/>
    </row>
    <row r="31" spans="2:18" x14ac:dyDescent="0.45">
      <c r="B31" s="7"/>
      <c r="C31" s="19">
        <f t="shared" ref="C31:C94" si="11">DATE(YEAR(C30),MONTH(C30)+1,DAY(C30))</f>
        <v>43851</v>
      </c>
      <c r="D31" s="26">
        <f t="shared" si="4"/>
        <v>3</v>
      </c>
      <c r="E31" s="34">
        <f t="shared" si="5"/>
        <v>458875.29600157659</v>
      </c>
      <c r="F31" s="43">
        <f t="shared" si="6"/>
        <v>-14144.48</v>
      </c>
      <c r="G31" s="47">
        <f t="shared" si="0"/>
        <v>1276.7771299928361</v>
      </c>
      <c r="H31" s="60">
        <f t="shared" si="7"/>
        <v>446007.59313156945</v>
      </c>
      <c r="J31" s="74">
        <f t="shared" si="1"/>
        <v>3</v>
      </c>
      <c r="K31" s="48">
        <f t="shared" si="8"/>
        <v>457583.61556625681</v>
      </c>
      <c r="L31" s="43">
        <f t="shared" si="2"/>
        <v>-13458.341634301669</v>
      </c>
      <c r="M31" s="75">
        <f t="shared" si="3"/>
        <v>444125.27393195516</v>
      </c>
      <c r="N31" s="32"/>
      <c r="O31" s="76">
        <f t="shared" si="9"/>
        <v>-42433.440000000002</v>
      </c>
      <c r="P31" s="39">
        <f t="shared" si="9"/>
        <v>3940.7342967092554</v>
      </c>
      <c r="Q31" s="88">
        <f t="shared" si="10"/>
        <v>40375.024902905003</v>
      </c>
      <c r="R31" s="86"/>
    </row>
    <row r="32" spans="2:18" x14ac:dyDescent="0.45">
      <c r="B32" s="7"/>
      <c r="C32" s="19">
        <f t="shared" si="11"/>
        <v>43882</v>
      </c>
      <c r="D32" s="26">
        <f t="shared" si="4"/>
        <v>4</v>
      </c>
      <c r="E32" s="34">
        <f t="shared" si="5"/>
        <v>446007.59313156945</v>
      </c>
      <c r="F32" s="43">
        <f t="shared" si="6"/>
        <v>-14144.48</v>
      </c>
      <c r="G32" s="47">
        <f t="shared" si="0"/>
        <v>1239.8352583058738</v>
      </c>
      <c r="H32" s="60">
        <f t="shared" si="7"/>
        <v>433102.94838987535</v>
      </c>
      <c r="J32" s="74">
        <f t="shared" si="1"/>
        <v>4</v>
      </c>
      <c r="K32" s="48">
        <f t="shared" si="8"/>
        <v>444125.27393195516</v>
      </c>
      <c r="L32" s="43">
        <f t="shared" si="2"/>
        <v>-13458.341634301669</v>
      </c>
      <c r="M32" s="75">
        <f t="shared" si="3"/>
        <v>430666.93229765352</v>
      </c>
      <c r="N32" s="32"/>
      <c r="O32" s="76">
        <f t="shared" si="9"/>
        <v>-56577.919999999998</v>
      </c>
      <c r="P32" s="39">
        <f t="shared" si="9"/>
        <v>5180.5695550151295</v>
      </c>
      <c r="Q32" s="88">
        <f t="shared" si="10"/>
        <v>53833.366537206675</v>
      </c>
      <c r="R32" s="86"/>
    </row>
    <row r="33" spans="2:18" x14ac:dyDescent="0.45">
      <c r="B33" s="7"/>
      <c r="C33" s="19">
        <f t="shared" si="11"/>
        <v>43911</v>
      </c>
      <c r="D33" s="26">
        <f t="shared" si="4"/>
        <v>5</v>
      </c>
      <c r="E33" s="34">
        <f t="shared" si="5"/>
        <v>433102.94838987535</v>
      </c>
      <c r="F33" s="43">
        <f t="shared" si="6"/>
        <v>-14144.48</v>
      </c>
      <c r="G33" s="47">
        <f t="shared" si="0"/>
        <v>1202.7873302468051</v>
      </c>
      <c r="H33" s="60">
        <f t="shared" si="7"/>
        <v>420161.25572012219</v>
      </c>
      <c r="J33" s="74">
        <f t="shared" si="1"/>
        <v>5</v>
      </c>
      <c r="K33" s="48">
        <f t="shared" si="8"/>
        <v>430666.93229765352</v>
      </c>
      <c r="L33" s="43">
        <f t="shared" si="2"/>
        <v>-13458.341634301669</v>
      </c>
      <c r="M33" s="75">
        <f t="shared" si="3"/>
        <v>417208.59066335188</v>
      </c>
      <c r="N33" s="32"/>
      <c r="O33" s="76">
        <f t="shared" si="9"/>
        <v>-70722.399999999994</v>
      </c>
      <c r="P33" s="39">
        <f t="shared" si="9"/>
        <v>6383.3568852619346</v>
      </c>
      <c r="Q33" s="88">
        <f t="shared" si="10"/>
        <v>67291.708171508348</v>
      </c>
      <c r="R33" s="86"/>
    </row>
    <row r="34" spans="2:18" x14ac:dyDescent="0.45">
      <c r="B34" s="7"/>
      <c r="C34" s="19">
        <f t="shared" si="11"/>
        <v>43942</v>
      </c>
      <c r="D34" s="26">
        <f t="shared" si="4"/>
        <v>6</v>
      </c>
      <c r="E34" s="34">
        <f t="shared" si="5"/>
        <v>420161.25572012219</v>
      </c>
      <c r="F34" s="43">
        <f t="shared" si="6"/>
        <v>-14144.48</v>
      </c>
      <c r="G34" s="47">
        <f t="shared" si="0"/>
        <v>1165.6330413385272</v>
      </c>
      <c r="H34" s="60">
        <f t="shared" si="7"/>
        <v>407182.40876146074</v>
      </c>
      <c r="J34" s="74">
        <f t="shared" si="1"/>
        <v>6</v>
      </c>
      <c r="K34" s="48">
        <f t="shared" si="8"/>
        <v>417208.59066335188</v>
      </c>
      <c r="L34" s="43">
        <f t="shared" si="2"/>
        <v>-13458.341634301669</v>
      </c>
      <c r="M34" s="75">
        <f t="shared" si="3"/>
        <v>403750.24902905023</v>
      </c>
      <c r="N34" s="32"/>
      <c r="O34" s="76">
        <f t="shared" si="9"/>
        <v>-84866.87999999999</v>
      </c>
      <c r="P34" s="39">
        <f t="shared" si="9"/>
        <v>7548.9899266004613</v>
      </c>
      <c r="Q34" s="88">
        <f t="shared" si="10"/>
        <v>80750.04980581002</v>
      </c>
      <c r="R34" s="86"/>
    </row>
    <row r="35" spans="2:18" x14ac:dyDescent="0.45">
      <c r="B35" s="7"/>
      <c r="C35" s="19">
        <f t="shared" si="11"/>
        <v>43972</v>
      </c>
      <c r="D35" s="26">
        <f t="shared" si="4"/>
        <v>7</v>
      </c>
      <c r="E35" s="34">
        <f t="shared" si="5"/>
        <v>407182.40876146074</v>
      </c>
      <c r="F35" s="43">
        <f t="shared" si="6"/>
        <v>-14144.48</v>
      </c>
      <c r="G35" s="47">
        <f t="shared" si="0"/>
        <v>1128.3720862298142</v>
      </c>
      <c r="H35" s="60">
        <f t="shared" si="7"/>
        <v>394166.30084769055</v>
      </c>
      <c r="J35" s="74">
        <f t="shared" si="1"/>
        <v>7</v>
      </c>
      <c r="K35" s="48">
        <f t="shared" si="8"/>
        <v>403750.24902905023</v>
      </c>
      <c r="L35" s="43">
        <f t="shared" si="2"/>
        <v>-13458.341634301669</v>
      </c>
      <c r="M35" s="75">
        <f t="shared" si="3"/>
        <v>390291.90739474859</v>
      </c>
      <c r="N35" s="32"/>
      <c r="O35" s="76">
        <f t="shared" si="9"/>
        <v>-99011.359999999986</v>
      </c>
      <c r="P35" s="39">
        <f t="shared" si="9"/>
        <v>8677.3620128302755</v>
      </c>
      <c r="Q35" s="88">
        <f t="shared" si="10"/>
        <v>94208.391440111693</v>
      </c>
      <c r="R35" s="86"/>
    </row>
    <row r="36" spans="2:18" x14ac:dyDescent="0.45">
      <c r="B36" s="7"/>
      <c r="C36" s="19">
        <f t="shared" si="11"/>
        <v>44003</v>
      </c>
      <c r="D36" s="26">
        <f t="shared" si="4"/>
        <v>8</v>
      </c>
      <c r="E36" s="34">
        <f t="shared" si="5"/>
        <v>394166.30084769055</v>
      </c>
      <c r="F36" s="43">
        <f t="shared" si="6"/>
        <v>-14144.48</v>
      </c>
      <c r="G36" s="47">
        <f t="shared" si="0"/>
        <v>1091.004158692808</v>
      </c>
      <c r="H36" s="60">
        <f t="shared" si="7"/>
        <v>381112.82500638335</v>
      </c>
      <c r="J36" s="74">
        <f t="shared" si="1"/>
        <v>8</v>
      </c>
      <c r="K36" s="48">
        <f t="shared" si="8"/>
        <v>390291.90739474859</v>
      </c>
      <c r="L36" s="43">
        <f t="shared" si="2"/>
        <v>-13458.341634301669</v>
      </c>
      <c r="M36" s="75">
        <f t="shared" si="3"/>
        <v>376833.56576044695</v>
      </c>
      <c r="N36" s="32"/>
      <c r="O36" s="76">
        <f t="shared" si="9"/>
        <v>-113155.83999999998</v>
      </c>
      <c r="P36" s="39">
        <f t="shared" si="9"/>
        <v>9768.3661715230828</v>
      </c>
      <c r="Q36" s="88">
        <f t="shared" si="10"/>
        <v>107666.73307441337</v>
      </c>
      <c r="R36" s="86"/>
    </row>
    <row r="37" spans="2:18" x14ac:dyDescent="0.45">
      <c r="B37" s="7"/>
      <c r="C37" s="19">
        <f t="shared" si="11"/>
        <v>44033</v>
      </c>
      <c r="D37" s="26">
        <f t="shared" si="4"/>
        <v>9</v>
      </c>
      <c r="E37" s="34">
        <f t="shared" si="5"/>
        <v>381112.82500638335</v>
      </c>
      <c r="F37" s="43">
        <f t="shared" si="6"/>
        <v>-14144.48</v>
      </c>
      <c r="G37" s="47">
        <f t="shared" si="0"/>
        <v>1053.5289516205014</v>
      </c>
      <c r="H37" s="60">
        <f t="shared" si="7"/>
        <v>368021.87395800388</v>
      </c>
      <c r="J37" s="74">
        <f t="shared" si="1"/>
        <v>9</v>
      </c>
      <c r="K37" s="48">
        <f t="shared" si="8"/>
        <v>376833.56576044695</v>
      </c>
      <c r="L37" s="43">
        <f t="shared" si="2"/>
        <v>-13458.341634301669</v>
      </c>
      <c r="M37" s="75">
        <f t="shared" si="3"/>
        <v>363375.2241261453</v>
      </c>
      <c r="N37" s="32"/>
      <c r="O37" s="76">
        <f t="shared" si="9"/>
        <v>-127300.31999999998</v>
      </c>
      <c r="P37" s="39">
        <f t="shared" si="9"/>
        <v>10821.895123143584</v>
      </c>
      <c r="Q37" s="88">
        <f t="shared" si="10"/>
        <v>121125.07470871504</v>
      </c>
      <c r="R37" s="86"/>
    </row>
    <row r="38" spans="2:18" x14ac:dyDescent="0.45">
      <c r="B38" s="7"/>
      <c r="C38" s="19">
        <f t="shared" si="11"/>
        <v>44064</v>
      </c>
      <c r="D38" s="26">
        <f t="shared" si="4"/>
        <v>10</v>
      </c>
      <c r="E38" s="34">
        <f t="shared" si="5"/>
        <v>368021.87395800388</v>
      </c>
      <c r="F38" s="43">
        <f t="shared" si="6"/>
        <v>-14144.48</v>
      </c>
      <c r="G38" s="47">
        <f t="shared" si="0"/>
        <v>1015.9461570242137</v>
      </c>
      <c r="H38" s="60">
        <f t="shared" si="7"/>
        <v>354893.34011502814</v>
      </c>
      <c r="J38" s="74">
        <f t="shared" si="1"/>
        <v>10</v>
      </c>
      <c r="K38" s="48">
        <f t="shared" si="8"/>
        <v>363375.2241261453</v>
      </c>
      <c r="L38" s="43">
        <f t="shared" si="2"/>
        <v>-13458.341634301669</v>
      </c>
      <c r="M38" s="75">
        <f t="shared" si="3"/>
        <v>349916.88249184366</v>
      </c>
      <c r="N38" s="32"/>
      <c r="O38" s="76">
        <f t="shared" si="9"/>
        <v>-141444.79999999999</v>
      </c>
      <c r="P38" s="39">
        <f t="shared" si="9"/>
        <v>11837.841280167797</v>
      </c>
      <c r="Q38" s="88">
        <f t="shared" si="10"/>
        <v>134583.4163430167</v>
      </c>
      <c r="R38" s="87"/>
    </row>
    <row r="39" spans="2:18" x14ac:dyDescent="0.45">
      <c r="B39" s="7"/>
      <c r="C39" s="19">
        <f t="shared" si="11"/>
        <v>44095</v>
      </c>
      <c r="D39" s="26">
        <f t="shared" si="4"/>
        <v>11</v>
      </c>
      <c r="E39" s="34">
        <f t="shared" si="5"/>
        <v>354893.34011502814</v>
      </c>
      <c r="F39" s="43">
        <f t="shared" si="6"/>
        <v>-14144.48</v>
      </c>
      <c r="G39" s="47">
        <f t="shared" si="0"/>
        <v>978.25546603106022</v>
      </c>
      <c r="H39" s="60">
        <f t="shared" si="7"/>
        <v>341727.11558105925</v>
      </c>
      <c r="J39" s="74">
        <f t="shared" si="1"/>
        <v>11</v>
      </c>
      <c r="K39" s="48">
        <f t="shared" si="8"/>
        <v>349916.88249184366</v>
      </c>
      <c r="L39" s="43">
        <f t="shared" si="2"/>
        <v>-13458.341634301669</v>
      </c>
      <c r="M39" s="75">
        <f t="shared" si="3"/>
        <v>336458.54085754202</v>
      </c>
      <c r="N39" s="32"/>
      <c r="O39" s="76">
        <f t="shared" si="9"/>
        <v>-155589.28</v>
      </c>
      <c r="P39" s="39">
        <f t="shared" si="9"/>
        <v>12816.096746198857</v>
      </c>
      <c r="Q39" s="88">
        <f t="shared" si="10"/>
        <v>148041.75797731837</v>
      </c>
      <c r="R39" s="87"/>
    </row>
    <row r="40" spans="2:18" x14ac:dyDescent="0.45">
      <c r="B40" s="7"/>
      <c r="C40" s="19">
        <f t="shared" si="11"/>
        <v>44125</v>
      </c>
      <c r="D40" s="26">
        <f t="shared" si="4"/>
        <v>12</v>
      </c>
      <c r="E40" s="34">
        <f t="shared" si="5"/>
        <v>341727.11558105925</v>
      </c>
      <c r="F40" s="43">
        <f t="shared" si="6"/>
        <v>-14144.48</v>
      </c>
      <c r="G40" s="47">
        <f t="shared" si="0"/>
        <v>940.45656888141355</v>
      </c>
      <c r="H40" s="60">
        <f t="shared" si="7"/>
        <v>328523.09214994067</v>
      </c>
      <c r="J40" s="74">
        <f t="shared" si="1"/>
        <v>12</v>
      </c>
      <c r="K40" s="48">
        <f t="shared" si="8"/>
        <v>336458.54085754202</v>
      </c>
      <c r="L40" s="43">
        <f t="shared" si="2"/>
        <v>-13458.341634301669</v>
      </c>
      <c r="M40" s="75">
        <f t="shared" si="3"/>
        <v>323000.19922324037</v>
      </c>
      <c r="N40" s="32"/>
      <c r="O40" s="76">
        <f t="shared" si="9"/>
        <v>-169733.76000000001</v>
      </c>
      <c r="P40" s="39">
        <f t="shared" si="9"/>
        <v>13756.553315080269</v>
      </c>
      <c r="Q40" s="88">
        <f t="shared" si="10"/>
        <v>161500.09961162004</v>
      </c>
      <c r="R40" s="87"/>
    </row>
    <row r="41" spans="2:18" x14ac:dyDescent="0.45">
      <c r="B41" s="7"/>
      <c r="C41" s="19">
        <f t="shared" si="11"/>
        <v>44156</v>
      </c>
      <c r="D41" s="26">
        <f t="shared" si="4"/>
        <v>13</v>
      </c>
      <c r="E41" s="34">
        <f t="shared" si="5"/>
        <v>328523.09214994067</v>
      </c>
      <c r="F41" s="43">
        <f t="shared" si="6"/>
        <v>-14144.48</v>
      </c>
      <c r="G41" s="47">
        <f t="shared" ref="G41:G64" si="12">((E41+F41)*($F$16))</f>
        <v>902.54915492635723</v>
      </c>
      <c r="H41" s="60">
        <f t="shared" si="7"/>
        <v>315281.16130486707</v>
      </c>
      <c r="J41" s="74">
        <f t="shared" si="1"/>
        <v>13</v>
      </c>
      <c r="K41" s="48">
        <f t="shared" si="8"/>
        <v>323000.19922324037</v>
      </c>
      <c r="L41" s="43">
        <f t="shared" ref="L41:L64" si="13">-$M$22/$F$12</f>
        <v>-13458.341634301669</v>
      </c>
      <c r="M41" s="75">
        <f t="shared" si="3"/>
        <v>309541.85758893873</v>
      </c>
      <c r="N41" s="32"/>
      <c r="O41" s="76">
        <f t="shared" si="9"/>
        <v>-183878.24000000002</v>
      </c>
      <c r="P41" s="39">
        <f t="shared" si="9"/>
        <v>14659.102470006626</v>
      </c>
      <c r="Q41" s="88">
        <f t="shared" si="10"/>
        <v>174958.44124592171</v>
      </c>
      <c r="R41" s="87"/>
    </row>
    <row r="42" spans="2:18" x14ac:dyDescent="0.45">
      <c r="B42" s="7"/>
      <c r="C42" s="19">
        <f t="shared" si="11"/>
        <v>44186</v>
      </c>
      <c r="D42" s="26">
        <f t="shared" si="4"/>
        <v>14</v>
      </c>
      <c r="E42" s="34">
        <f t="shared" si="5"/>
        <v>315281.16130486707</v>
      </c>
      <c r="F42" s="43">
        <f t="shared" si="6"/>
        <v>-14144.48</v>
      </c>
      <c r="G42" s="47">
        <f t="shared" si="12"/>
        <v>864.53291262513392</v>
      </c>
      <c r="H42" s="60">
        <f t="shared" si="7"/>
        <v>302001.2142174922</v>
      </c>
      <c r="J42" s="74">
        <f t="shared" si="1"/>
        <v>14</v>
      </c>
      <c r="K42" s="48">
        <f t="shared" si="8"/>
        <v>309541.85758893873</v>
      </c>
      <c r="L42" s="43">
        <f t="shared" si="13"/>
        <v>-13458.341634301669</v>
      </c>
      <c r="M42" s="75">
        <f t="shared" si="3"/>
        <v>296083.51595463709</v>
      </c>
      <c r="N42" s="32"/>
      <c r="O42" s="76">
        <f t="shared" si="9"/>
        <v>-198022.72000000003</v>
      </c>
      <c r="P42" s="39">
        <f t="shared" si="9"/>
        <v>15523.635382631761</v>
      </c>
      <c r="Q42" s="88">
        <f t="shared" si="10"/>
        <v>188416.78288022339</v>
      </c>
      <c r="R42" s="87"/>
    </row>
    <row r="43" spans="2:18" x14ac:dyDescent="0.45">
      <c r="B43" s="7"/>
      <c r="C43" s="19">
        <f t="shared" si="11"/>
        <v>44217</v>
      </c>
      <c r="D43" s="26">
        <f t="shared" si="4"/>
        <v>15</v>
      </c>
      <c r="E43" s="34">
        <f t="shared" si="5"/>
        <v>302001.2142174922</v>
      </c>
      <c r="F43" s="43">
        <f t="shared" si="6"/>
        <v>-14144.48</v>
      </c>
      <c r="G43" s="47">
        <f t="shared" si="12"/>
        <v>826.4075295425838</v>
      </c>
      <c r="H43" s="60">
        <f t="shared" si="7"/>
        <v>288683.1417470348</v>
      </c>
      <c r="J43" s="74">
        <f t="shared" si="1"/>
        <v>15</v>
      </c>
      <c r="K43" s="48">
        <f t="shared" si="8"/>
        <v>296083.51595463709</v>
      </c>
      <c r="L43" s="43">
        <f t="shared" si="13"/>
        <v>-13458.341634301669</v>
      </c>
      <c r="M43" s="75">
        <f t="shared" si="3"/>
        <v>282625.17432033544</v>
      </c>
      <c r="N43" s="32"/>
      <c r="O43" s="76">
        <f t="shared" si="9"/>
        <v>-212167.20000000004</v>
      </c>
      <c r="P43" s="39">
        <f t="shared" si="9"/>
        <v>16350.042912174345</v>
      </c>
      <c r="Q43" s="88">
        <f t="shared" si="10"/>
        <v>201875.12451452506</v>
      </c>
      <c r="R43" s="87"/>
    </row>
    <row r="44" spans="2:18" x14ac:dyDescent="0.45">
      <c r="B44" s="7"/>
      <c r="C44" s="19">
        <f t="shared" si="11"/>
        <v>44248</v>
      </c>
      <c r="D44" s="26">
        <f t="shared" si="4"/>
        <v>16</v>
      </c>
      <c r="E44" s="34">
        <f t="shared" si="5"/>
        <v>288683.1417470348</v>
      </c>
      <c r="F44" s="43">
        <f t="shared" si="6"/>
        <v>-14144.48</v>
      </c>
      <c r="G44" s="47">
        <f t="shared" si="12"/>
        <v>788.17269234657783</v>
      </c>
      <c r="H44" s="60">
        <f t="shared" si="7"/>
        <v>275326.83443938137</v>
      </c>
      <c r="J44" s="74">
        <f t="shared" si="1"/>
        <v>16</v>
      </c>
      <c r="K44" s="48">
        <f t="shared" si="8"/>
        <v>282625.17432033544</v>
      </c>
      <c r="L44" s="43">
        <f t="shared" si="13"/>
        <v>-13458.341634301669</v>
      </c>
      <c r="M44" s="75">
        <f t="shared" si="3"/>
        <v>269166.8326860338</v>
      </c>
      <c r="N44" s="32"/>
      <c r="O44" s="76">
        <f t="shared" si="9"/>
        <v>-226311.68000000005</v>
      </c>
      <c r="P44" s="39">
        <f t="shared" si="9"/>
        <v>17138.215604520923</v>
      </c>
      <c r="Q44" s="88">
        <f t="shared" si="10"/>
        <v>215333.46614882673</v>
      </c>
      <c r="R44" s="87"/>
    </row>
    <row r="45" spans="2:18" x14ac:dyDescent="0.45">
      <c r="B45" s="7"/>
      <c r="C45" s="19">
        <f t="shared" si="11"/>
        <v>44276</v>
      </c>
      <c r="D45" s="26">
        <f t="shared" si="4"/>
        <v>17</v>
      </c>
      <c r="E45" s="34">
        <f t="shared" si="5"/>
        <v>275326.83443938137</v>
      </c>
      <c r="F45" s="43">
        <f t="shared" si="6"/>
        <v>-14144.48</v>
      </c>
      <c r="G45" s="47">
        <f t="shared" si="12"/>
        <v>749.82808680544156</v>
      </c>
      <c r="H45" s="60">
        <f t="shared" si="7"/>
        <v>261932.18252618681</v>
      </c>
      <c r="J45" s="74">
        <f t="shared" si="1"/>
        <v>17</v>
      </c>
      <c r="K45" s="48">
        <f t="shared" si="8"/>
        <v>269166.8326860338</v>
      </c>
      <c r="L45" s="43">
        <f t="shared" si="13"/>
        <v>-13458.341634301669</v>
      </c>
      <c r="M45" s="75">
        <f t="shared" si="3"/>
        <v>255708.49105173213</v>
      </c>
      <c r="N45" s="32"/>
      <c r="O45" s="76">
        <f t="shared" si="9"/>
        <v>-240456.16000000006</v>
      </c>
      <c r="P45" s="39">
        <f t="shared" si="9"/>
        <v>17888.043691326366</v>
      </c>
      <c r="Q45" s="88">
        <f t="shared" si="10"/>
        <v>228791.8077831284</v>
      </c>
      <c r="R45" s="87"/>
    </row>
    <row r="46" spans="2:18" x14ac:dyDescent="0.45">
      <c r="B46" s="7"/>
      <c r="C46" s="19">
        <f t="shared" si="11"/>
        <v>44307</v>
      </c>
      <c r="D46" s="26">
        <f t="shared" si="4"/>
        <v>18</v>
      </c>
      <c r="E46" s="34">
        <f t="shared" si="5"/>
        <v>261932.18252618681</v>
      </c>
      <c r="F46" s="43">
        <f t="shared" si="6"/>
        <v>-14144.48</v>
      </c>
      <c r="G46" s="47">
        <f t="shared" si="12"/>
        <v>711.37339778537375</v>
      </c>
      <c r="H46" s="60">
        <f t="shared" si="7"/>
        <v>248499.07592397218</v>
      </c>
      <c r="J46" s="74">
        <f t="shared" si="1"/>
        <v>18</v>
      </c>
      <c r="K46" s="48">
        <f t="shared" si="8"/>
        <v>255708.49105173213</v>
      </c>
      <c r="L46" s="43">
        <f t="shared" si="13"/>
        <v>-13458.341634301669</v>
      </c>
      <c r="M46" s="75">
        <f t="shared" si="3"/>
        <v>242250.14941743045</v>
      </c>
      <c r="N46" s="32"/>
      <c r="O46" s="76">
        <f t="shared" ref="O46:P61" si="14">+O45+F46</f>
        <v>-254600.64000000007</v>
      </c>
      <c r="P46" s="39">
        <f t="shared" si="14"/>
        <v>18599.417089111739</v>
      </c>
      <c r="Q46" s="88">
        <f t="shared" si="10"/>
        <v>242250.14941743008</v>
      </c>
      <c r="R46" s="87"/>
    </row>
    <row r="47" spans="2:18" x14ac:dyDescent="0.45">
      <c r="B47" s="7"/>
      <c r="C47" s="19">
        <f t="shared" si="11"/>
        <v>44337</v>
      </c>
      <c r="D47" s="26">
        <f t="shared" si="4"/>
        <v>19</v>
      </c>
      <c r="E47" s="34">
        <f t="shared" si="5"/>
        <v>248499.07592397218</v>
      </c>
      <c r="F47" s="43">
        <f t="shared" si="6"/>
        <v>-14144.48</v>
      </c>
      <c r="G47" s="47">
        <f t="shared" si="12"/>
        <v>672.80830924785573</v>
      </c>
      <c r="H47" s="60">
        <f t="shared" si="7"/>
        <v>235027.40423322003</v>
      </c>
      <c r="J47" s="74">
        <f t="shared" si="1"/>
        <v>19</v>
      </c>
      <c r="K47" s="48">
        <f t="shared" si="8"/>
        <v>242250.14941743045</v>
      </c>
      <c r="L47" s="43">
        <f t="shared" si="13"/>
        <v>-13458.341634301669</v>
      </c>
      <c r="M47" s="75">
        <f t="shared" si="3"/>
        <v>228791.80778312878</v>
      </c>
      <c r="N47" s="32"/>
      <c r="O47" s="76">
        <f t="shared" si="14"/>
        <v>-268745.12000000005</v>
      </c>
      <c r="P47" s="39">
        <f t="shared" si="14"/>
        <v>19272.225398359595</v>
      </c>
      <c r="Q47" s="88">
        <f t="shared" si="10"/>
        <v>255708.49105173175</v>
      </c>
      <c r="R47" s="87"/>
    </row>
    <row r="48" spans="2:18" x14ac:dyDescent="0.45">
      <c r="B48" s="7"/>
      <c r="C48" s="19">
        <f t="shared" si="11"/>
        <v>44368</v>
      </c>
      <c r="D48" s="26">
        <f t="shared" si="4"/>
        <v>20</v>
      </c>
      <c r="E48" s="34">
        <f t="shared" si="5"/>
        <v>235027.40423322003</v>
      </c>
      <c r="F48" s="43">
        <f t="shared" si="6"/>
        <v>-14144.48</v>
      </c>
      <c r="G48" s="47">
        <f t="shared" si="12"/>
        <v>634.13250424705438</v>
      </c>
      <c r="H48" s="60">
        <f t="shared" si="7"/>
        <v>221517.05673746706</v>
      </c>
      <c r="J48" s="74">
        <f t="shared" si="1"/>
        <v>20</v>
      </c>
      <c r="K48" s="48">
        <f t="shared" si="8"/>
        <v>228791.80778312878</v>
      </c>
      <c r="L48" s="43">
        <f t="shared" si="13"/>
        <v>-13458.341634301669</v>
      </c>
      <c r="M48" s="75">
        <f t="shared" si="3"/>
        <v>215333.46614882711</v>
      </c>
      <c r="N48" s="32"/>
      <c r="O48" s="76">
        <f t="shared" si="14"/>
        <v>-282889.60000000003</v>
      </c>
      <c r="P48" s="39">
        <f t="shared" si="14"/>
        <v>19906.357902606651</v>
      </c>
      <c r="Q48" s="88">
        <f t="shared" si="10"/>
        <v>269166.83268603339</v>
      </c>
      <c r="R48" s="87"/>
    </row>
    <row r="49" spans="2:18" x14ac:dyDescent="0.45">
      <c r="B49" s="7"/>
      <c r="C49" s="19">
        <f t="shared" si="11"/>
        <v>44398</v>
      </c>
      <c r="D49" s="26">
        <f t="shared" si="4"/>
        <v>21</v>
      </c>
      <c r="E49" s="34">
        <f t="shared" si="5"/>
        <v>221517.05673746706</v>
      </c>
      <c r="F49" s="43">
        <f t="shared" si="6"/>
        <v>-14144.48</v>
      </c>
      <c r="G49" s="47">
        <f t="shared" si="12"/>
        <v>595.34566492721683</v>
      </c>
      <c r="H49" s="60">
        <f t="shared" si="7"/>
        <v>207967.92240239427</v>
      </c>
      <c r="J49" s="74">
        <f t="shared" si="1"/>
        <v>21</v>
      </c>
      <c r="K49" s="48">
        <f t="shared" si="8"/>
        <v>215333.46614882711</v>
      </c>
      <c r="L49" s="43">
        <f t="shared" si="13"/>
        <v>-13458.341634301669</v>
      </c>
      <c r="M49" s="75">
        <f t="shared" si="3"/>
        <v>201875.12451452544</v>
      </c>
      <c r="N49" s="80"/>
      <c r="O49" s="76">
        <f t="shared" si="14"/>
        <v>-297034.08</v>
      </c>
      <c r="P49" s="39">
        <f t="shared" si="14"/>
        <v>20501.703567533867</v>
      </c>
      <c r="Q49" s="88">
        <f t="shared" si="10"/>
        <v>282625.17432033503</v>
      </c>
      <c r="R49" s="87"/>
    </row>
    <row r="50" spans="2:18" x14ac:dyDescent="0.45">
      <c r="B50" s="7"/>
      <c r="C50" s="19">
        <f t="shared" si="11"/>
        <v>44429</v>
      </c>
      <c r="D50" s="26">
        <f t="shared" si="4"/>
        <v>22</v>
      </c>
      <c r="E50" s="34">
        <f t="shared" si="5"/>
        <v>207967.92240239427</v>
      </c>
      <c r="F50" s="43">
        <f t="shared" si="6"/>
        <v>-14144.48</v>
      </c>
      <c r="G50" s="47">
        <f t="shared" si="12"/>
        <v>556.44747252005902</v>
      </c>
      <c r="H50" s="60">
        <f t="shared" si="7"/>
        <v>194379.88987491431</v>
      </c>
      <c r="J50" s="74">
        <f t="shared" si="1"/>
        <v>22</v>
      </c>
      <c r="K50" s="48">
        <f t="shared" si="8"/>
        <v>201875.12451452544</v>
      </c>
      <c r="L50" s="43">
        <f t="shared" si="13"/>
        <v>-13458.341634301669</v>
      </c>
      <c r="M50" s="75">
        <f t="shared" si="3"/>
        <v>188416.78288022376</v>
      </c>
      <c r="N50" s="32"/>
      <c r="O50" s="76">
        <f t="shared" si="14"/>
        <v>-311178.56</v>
      </c>
      <c r="P50" s="39">
        <f t="shared" si="14"/>
        <v>21058.151040053926</v>
      </c>
      <c r="Q50" s="88">
        <f t="shared" si="10"/>
        <v>296083.51595463668</v>
      </c>
      <c r="R50" s="32"/>
    </row>
    <row r="51" spans="2:18" x14ac:dyDescent="0.45">
      <c r="B51" s="7"/>
      <c r="C51" s="19">
        <f t="shared" si="11"/>
        <v>44460</v>
      </c>
      <c r="D51" s="26">
        <f t="shared" si="4"/>
        <v>23</v>
      </c>
      <c r="E51" s="34">
        <f t="shared" si="5"/>
        <v>194379.88987491431</v>
      </c>
      <c r="F51" s="43">
        <f t="shared" si="6"/>
        <v>-14144.48</v>
      </c>
      <c r="G51" s="47">
        <f t="shared" si="12"/>
        <v>517.43760734214504</v>
      </c>
      <c r="H51" s="60">
        <f t="shared" si="7"/>
        <v>180752.84748225645</v>
      </c>
      <c r="J51" s="74">
        <f t="shared" si="1"/>
        <v>23</v>
      </c>
      <c r="K51" s="48">
        <f t="shared" si="8"/>
        <v>188416.78288022376</v>
      </c>
      <c r="L51" s="43">
        <f t="shared" si="13"/>
        <v>-13458.341634301669</v>
      </c>
      <c r="M51" s="75">
        <f t="shared" si="3"/>
        <v>174958.44124592209</v>
      </c>
      <c r="N51" s="32"/>
      <c r="O51" s="76">
        <f t="shared" si="14"/>
        <v>-325323.03999999998</v>
      </c>
      <c r="P51" s="39">
        <f t="shared" si="14"/>
        <v>21575.588647396071</v>
      </c>
      <c r="Q51" s="88">
        <f t="shared" si="10"/>
        <v>309541.85758893832</v>
      </c>
      <c r="R51" s="32"/>
    </row>
    <row r="52" spans="2:18" x14ac:dyDescent="0.45">
      <c r="B52" s="7"/>
      <c r="C52" s="19">
        <f t="shared" si="11"/>
        <v>44490</v>
      </c>
      <c r="D52" s="26">
        <f t="shared" si="4"/>
        <v>24</v>
      </c>
      <c r="E52" s="34">
        <f t="shared" si="5"/>
        <v>180752.84748225645</v>
      </c>
      <c r="F52" s="43">
        <f t="shared" si="6"/>
        <v>-14144.48</v>
      </c>
      <c r="G52" s="47">
        <f t="shared" si="12"/>
        <v>478.31574879226048</v>
      </c>
      <c r="H52" s="60">
        <f t="shared" si="7"/>
        <v>167086.68323104869</v>
      </c>
      <c r="J52" s="74">
        <f t="shared" si="1"/>
        <v>24</v>
      </c>
      <c r="K52" s="48">
        <f t="shared" si="8"/>
        <v>174958.44124592209</v>
      </c>
      <c r="L52" s="43">
        <f t="shared" si="13"/>
        <v>-13458.341634301669</v>
      </c>
      <c r="M52" s="75">
        <f t="shared" si="3"/>
        <v>161500.09961162042</v>
      </c>
      <c r="N52" s="32"/>
      <c r="O52" s="76">
        <f t="shared" si="14"/>
        <v>-339467.51999999996</v>
      </c>
      <c r="P52" s="39">
        <f t="shared" si="14"/>
        <v>22053.904396188333</v>
      </c>
      <c r="Q52" s="88">
        <f t="shared" si="10"/>
        <v>323000.19922323996</v>
      </c>
      <c r="R52" s="32"/>
    </row>
    <row r="53" spans="2:18" x14ac:dyDescent="0.45">
      <c r="B53" s="7"/>
      <c r="C53" s="19">
        <f t="shared" si="11"/>
        <v>44521</v>
      </c>
      <c r="D53" s="26">
        <f t="shared" si="4"/>
        <v>25</v>
      </c>
      <c r="E53" s="34">
        <f t="shared" si="5"/>
        <v>167086.68323104869</v>
      </c>
      <c r="F53" s="43">
        <f t="shared" si="6"/>
        <v>-14144.48</v>
      </c>
      <c r="G53" s="47">
        <f t="shared" si="12"/>
        <v>439.08157534877716</v>
      </c>
      <c r="H53" s="60">
        <f t="shared" si="7"/>
        <v>153381.28480639745</v>
      </c>
      <c r="J53" s="74">
        <f t="shared" si="1"/>
        <v>25</v>
      </c>
      <c r="K53" s="48">
        <f t="shared" si="8"/>
        <v>161500.09961162042</v>
      </c>
      <c r="L53" s="43">
        <f t="shared" si="13"/>
        <v>-13458.341634301669</v>
      </c>
      <c r="M53" s="75">
        <f t="shared" si="3"/>
        <v>148041.75797731875</v>
      </c>
      <c r="N53" s="32"/>
      <c r="O53" s="76">
        <f t="shared" si="14"/>
        <v>-353611.99999999994</v>
      </c>
      <c r="P53" s="39">
        <f t="shared" si="14"/>
        <v>22492.985971537109</v>
      </c>
      <c r="Q53" s="88">
        <f t="shared" si="10"/>
        <v>336458.54085754161</v>
      </c>
      <c r="R53" s="32"/>
    </row>
    <row r="54" spans="2:18" x14ac:dyDescent="0.45">
      <c r="B54" s="7"/>
      <c r="C54" s="19">
        <f t="shared" si="11"/>
        <v>44551</v>
      </c>
      <c r="D54" s="26">
        <f t="shared" si="4"/>
        <v>26</v>
      </c>
      <c r="E54" s="34">
        <f t="shared" si="5"/>
        <v>153381.28480639745</v>
      </c>
      <c r="F54" s="43">
        <f t="shared" si="6"/>
        <v>-14144.48</v>
      </c>
      <c r="G54" s="47">
        <f t="shared" si="12"/>
        <v>399.73476456701087</v>
      </c>
      <c r="H54" s="60">
        <f t="shared" si="7"/>
        <v>139636.53957096447</v>
      </c>
      <c r="J54" s="74">
        <f t="shared" si="1"/>
        <v>26</v>
      </c>
      <c r="K54" s="48">
        <f t="shared" si="8"/>
        <v>148041.75797731875</v>
      </c>
      <c r="L54" s="43">
        <f t="shared" si="13"/>
        <v>-13458.341634301669</v>
      </c>
      <c r="M54" s="75">
        <f t="shared" si="3"/>
        <v>134583.41634301707</v>
      </c>
      <c r="N54" s="32"/>
      <c r="O54" s="76">
        <f t="shared" si="14"/>
        <v>-367756.47999999992</v>
      </c>
      <c r="P54" s="39">
        <f t="shared" si="14"/>
        <v>22892.720736104122</v>
      </c>
      <c r="Q54" s="88">
        <f t="shared" si="10"/>
        <v>349916.88249184325</v>
      </c>
      <c r="R54" s="32"/>
    </row>
    <row r="55" spans="2:18" x14ac:dyDescent="0.45">
      <c r="B55" s="7"/>
      <c r="C55" s="19">
        <f t="shared" si="11"/>
        <v>44582</v>
      </c>
      <c r="D55" s="26">
        <f t="shared" si="4"/>
        <v>27</v>
      </c>
      <c r="E55" s="34">
        <f t="shared" si="5"/>
        <v>139636.53957096447</v>
      </c>
      <c r="F55" s="43">
        <f t="shared" si="6"/>
        <v>-14144.48</v>
      </c>
      <c r="G55" s="47">
        <f t="shared" si="12"/>
        <v>360.27499307657155</v>
      </c>
      <c r="H55" s="60">
        <f t="shared" si="7"/>
        <v>125852.33456404104</v>
      </c>
      <c r="J55" s="74">
        <f t="shared" si="1"/>
        <v>27</v>
      </c>
      <c r="K55" s="48">
        <f t="shared" si="8"/>
        <v>134583.41634301707</v>
      </c>
      <c r="L55" s="43">
        <f t="shared" si="13"/>
        <v>-13458.341634301669</v>
      </c>
      <c r="M55" s="75">
        <f t="shared" si="3"/>
        <v>121125.0747087154</v>
      </c>
      <c r="N55" s="32"/>
      <c r="O55" s="76">
        <f t="shared" si="14"/>
        <v>-381900.9599999999</v>
      </c>
      <c r="P55" s="39">
        <f t="shared" si="14"/>
        <v>23252.995729180693</v>
      </c>
      <c r="Q55" s="88">
        <f t="shared" si="10"/>
        <v>363375.22412614489</v>
      </c>
      <c r="R55" s="32"/>
    </row>
    <row r="56" spans="2:18" x14ac:dyDescent="0.45">
      <c r="B56" s="7"/>
      <c r="C56" s="19">
        <f t="shared" si="11"/>
        <v>44613</v>
      </c>
      <c r="D56" s="26">
        <f t="shared" si="4"/>
        <v>28</v>
      </c>
      <c r="E56" s="34">
        <f t="shared" si="5"/>
        <v>125852.33456404104</v>
      </c>
      <c r="F56" s="43">
        <f t="shared" si="6"/>
        <v>-14144.48</v>
      </c>
      <c r="G56" s="47">
        <f t="shared" si="12"/>
        <v>320.70193657870527</v>
      </c>
      <c r="H56" s="60">
        <f t="shared" si="7"/>
        <v>112028.55650061974</v>
      </c>
      <c r="J56" s="74">
        <f t="shared" si="1"/>
        <v>28</v>
      </c>
      <c r="K56" s="48">
        <f t="shared" si="8"/>
        <v>121125.0747087154</v>
      </c>
      <c r="L56" s="43">
        <f t="shared" si="13"/>
        <v>-13458.341634301669</v>
      </c>
      <c r="M56" s="75">
        <f t="shared" si="3"/>
        <v>107666.73307441373</v>
      </c>
      <c r="N56" s="32"/>
      <c r="O56" s="76">
        <f t="shared" si="14"/>
        <v>-396045.43999999989</v>
      </c>
      <c r="P56" s="39">
        <f t="shared" si="14"/>
        <v>23573.697665759399</v>
      </c>
      <c r="Q56" s="88">
        <f t="shared" si="10"/>
        <v>376833.56576044654</v>
      </c>
      <c r="R56" s="32"/>
    </row>
    <row r="57" spans="2:18" x14ac:dyDescent="0.45">
      <c r="B57" s="7"/>
      <c r="C57" s="19">
        <f t="shared" si="11"/>
        <v>44641</v>
      </c>
      <c r="D57" s="26">
        <f t="shared" si="4"/>
        <v>29</v>
      </c>
      <c r="E57" s="34">
        <f t="shared" si="5"/>
        <v>112028.55650061974</v>
      </c>
      <c r="F57" s="43">
        <f t="shared" si="6"/>
        <v>-14144.48</v>
      </c>
      <c r="G57" s="47">
        <f t="shared" si="12"/>
        <v>281.01526984362926</v>
      </c>
      <c r="H57" s="60">
        <f t="shared" si="7"/>
        <v>98165.091770463376</v>
      </c>
      <c r="J57" s="74">
        <f t="shared" si="1"/>
        <v>29</v>
      </c>
      <c r="K57" s="48">
        <f t="shared" si="8"/>
        <v>107666.73307441373</v>
      </c>
      <c r="L57" s="43">
        <f t="shared" si="13"/>
        <v>-13458.341634301669</v>
      </c>
      <c r="M57" s="75">
        <f t="shared" si="3"/>
        <v>94208.391440112056</v>
      </c>
      <c r="N57" s="32"/>
      <c r="O57" s="76">
        <f t="shared" si="14"/>
        <v>-410189.91999999987</v>
      </c>
      <c r="P57" s="39">
        <f t="shared" si="14"/>
        <v>23854.712935603027</v>
      </c>
      <c r="Q57" s="88">
        <f t="shared" si="10"/>
        <v>390291.90739474818</v>
      </c>
      <c r="R57" s="32"/>
    </row>
    <row r="58" spans="2:18" x14ac:dyDescent="0.45">
      <c r="B58" s="7"/>
      <c r="C58" s="19">
        <f t="shared" si="11"/>
        <v>44672</v>
      </c>
      <c r="D58" s="26">
        <f t="shared" si="4"/>
        <v>30</v>
      </c>
      <c r="E58" s="34">
        <f t="shared" si="5"/>
        <v>98165.091770463376</v>
      </c>
      <c r="F58" s="43">
        <f t="shared" si="6"/>
        <v>-14144.48</v>
      </c>
      <c r="G58" s="47">
        <f t="shared" si="12"/>
        <v>241.21466670785915</v>
      </c>
      <c r="H58" s="60">
        <f t="shared" si="7"/>
        <v>84261.826437171243</v>
      </c>
      <c r="J58" s="74">
        <f t="shared" si="1"/>
        <v>30</v>
      </c>
      <c r="K58" s="48">
        <f t="shared" si="8"/>
        <v>94208.391440112056</v>
      </c>
      <c r="L58" s="43">
        <f t="shared" si="13"/>
        <v>-13458.341634301669</v>
      </c>
      <c r="M58" s="75">
        <f t="shared" si="3"/>
        <v>80750.049805810384</v>
      </c>
      <c r="N58" s="32"/>
      <c r="O58" s="76">
        <f t="shared" si="14"/>
        <v>-424334.39999999985</v>
      </c>
      <c r="P58" s="39">
        <f t="shared" si="14"/>
        <v>24095.927602310887</v>
      </c>
      <c r="Q58" s="88">
        <f t="shared" si="10"/>
        <v>403750.24902904982</v>
      </c>
      <c r="R58" s="32"/>
    </row>
    <row r="59" spans="2:18" x14ac:dyDescent="0.45">
      <c r="B59" s="7"/>
      <c r="C59" s="19">
        <f t="shared" si="11"/>
        <v>44702</v>
      </c>
      <c r="D59" s="26">
        <f t="shared" si="4"/>
        <v>31</v>
      </c>
      <c r="E59" s="34">
        <f t="shared" si="5"/>
        <v>84261.826437171243</v>
      </c>
      <c r="F59" s="43">
        <f t="shared" si="6"/>
        <v>-14144.48</v>
      </c>
      <c r="G59" s="47">
        <f t="shared" si="12"/>
        <v>201.2998000715281</v>
      </c>
      <c r="H59" s="60">
        <f t="shared" si="7"/>
        <v>70318.646237242778</v>
      </c>
      <c r="J59" s="74">
        <f t="shared" si="1"/>
        <v>31</v>
      </c>
      <c r="K59" s="48">
        <f t="shared" si="8"/>
        <v>80750.049805810384</v>
      </c>
      <c r="L59" s="43">
        <f t="shared" si="13"/>
        <v>-13458.341634301669</v>
      </c>
      <c r="M59" s="75">
        <f t="shared" si="3"/>
        <v>67291.708171508712</v>
      </c>
      <c r="N59" s="32"/>
      <c r="O59" s="76">
        <f t="shared" si="14"/>
        <v>-438478.87999999983</v>
      </c>
      <c r="P59" s="39">
        <f t="shared" si="14"/>
        <v>24297.227402382414</v>
      </c>
      <c r="Q59" s="88">
        <f t="shared" si="10"/>
        <v>417208.59066335147</v>
      </c>
      <c r="R59" s="32"/>
    </row>
    <row r="60" spans="2:18" x14ac:dyDescent="0.45">
      <c r="B60" s="7"/>
      <c r="C60" s="19">
        <f t="shared" si="11"/>
        <v>44733</v>
      </c>
      <c r="D60" s="26">
        <f t="shared" si="4"/>
        <v>32</v>
      </c>
      <c r="E60" s="34">
        <f t="shared" si="5"/>
        <v>70318.646237242778</v>
      </c>
      <c r="F60" s="43">
        <f t="shared" si="6"/>
        <v>-14144.48</v>
      </c>
      <c r="G60" s="47">
        <f t="shared" si="12"/>
        <v>161.27034189569866</v>
      </c>
      <c r="H60" s="60">
        <f t="shared" si="7"/>
        <v>56335.436579138477</v>
      </c>
      <c r="J60" s="74">
        <f t="shared" si="1"/>
        <v>32</v>
      </c>
      <c r="K60" s="48">
        <f t="shared" si="8"/>
        <v>67291.708171508712</v>
      </c>
      <c r="L60" s="43">
        <f t="shared" si="13"/>
        <v>-13458.341634301669</v>
      </c>
      <c r="M60" s="75">
        <f t="shared" si="3"/>
        <v>53833.366537207039</v>
      </c>
      <c r="N60" s="32"/>
      <c r="O60" s="76">
        <f t="shared" si="14"/>
        <v>-452623.35999999981</v>
      </c>
      <c r="P60" s="39">
        <f t="shared" si="14"/>
        <v>24458.497744278113</v>
      </c>
      <c r="Q60" s="88">
        <f t="shared" si="10"/>
        <v>430666.93229765311</v>
      </c>
      <c r="R60" s="32"/>
    </row>
    <row r="61" spans="2:18" x14ac:dyDescent="0.45">
      <c r="B61" s="7"/>
      <c r="C61" s="19">
        <f t="shared" si="11"/>
        <v>44763</v>
      </c>
      <c r="D61" s="26">
        <f t="shared" si="4"/>
        <v>33</v>
      </c>
      <c r="E61" s="34">
        <f t="shared" si="5"/>
        <v>56335.436579138477</v>
      </c>
      <c r="F61" s="43">
        <f t="shared" si="6"/>
        <v>-14144.48</v>
      </c>
      <c r="G61" s="47">
        <f t="shared" si="12"/>
        <v>121.1259631996669</v>
      </c>
      <c r="H61" s="60">
        <f t="shared" si="7"/>
        <v>42312.082542338147</v>
      </c>
      <c r="J61" s="74">
        <f t="shared" si="1"/>
        <v>33</v>
      </c>
      <c r="K61" s="48">
        <f t="shared" si="8"/>
        <v>53833.366537207039</v>
      </c>
      <c r="L61" s="43">
        <f t="shared" si="13"/>
        <v>-13458.341634301669</v>
      </c>
      <c r="M61" s="75">
        <f t="shared" si="3"/>
        <v>40375.024902905367</v>
      </c>
      <c r="N61" s="32"/>
      <c r="O61" s="76">
        <f t="shared" si="14"/>
        <v>-466767.83999999979</v>
      </c>
      <c r="P61" s="39">
        <f t="shared" si="14"/>
        <v>24579.623707477778</v>
      </c>
      <c r="Q61" s="88">
        <f t="shared" si="10"/>
        <v>444125.27393195475</v>
      </c>
      <c r="R61" s="32"/>
    </row>
    <row r="62" spans="2:18" x14ac:dyDescent="0.45">
      <c r="B62" s="7"/>
      <c r="C62" s="19">
        <f t="shared" si="11"/>
        <v>44794</v>
      </c>
      <c r="D62" s="26">
        <f t="shared" si="4"/>
        <v>34</v>
      </c>
      <c r="E62" s="34">
        <f t="shared" si="5"/>
        <v>42312.082542338147</v>
      </c>
      <c r="F62" s="43">
        <f t="shared" si="6"/>
        <v>-14144.48</v>
      </c>
      <c r="G62" s="47">
        <f t="shared" si="12"/>
        <v>80.866334058258559</v>
      </c>
      <c r="H62" s="60">
        <f t="shared" si="7"/>
        <v>28248.468876396404</v>
      </c>
      <c r="J62" s="74">
        <f t="shared" si="1"/>
        <v>34</v>
      </c>
      <c r="K62" s="48">
        <f t="shared" si="8"/>
        <v>40375.024902905367</v>
      </c>
      <c r="L62" s="43">
        <f t="shared" si="13"/>
        <v>-13458.341634301669</v>
      </c>
      <c r="M62" s="75">
        <f t="shared" si="3"/>
        <v>26916.683268603698</v>
      </c>
      <c r="N62" s="32"/>
      <c r="O62" s="76">
        <f t="shared" ref="O62:P64" si="15">+O61+F62</f>
        <v>-480912.31999999977</v>
      </c>
      <c r="P62" s="39">
        <f t="shared" si="15"/>
        <v>24660.490041536035</v>
      </c>
      <c r="Q62" s="88">
        <f t="shared" si="10"/>
        <v>457583.6155662564</v>
      </c>
      <c r="R62" s="32"/>
    </row>
    <row r="63" spans="2:18" x14ac:dyDescent="0.45">
      <c r="B63" s="7"/>
      <c r="C63" s="19">
        <f t="shared" si="11"/>
        <v>44825</v>
      </c>
      <c r="D63" s="26">
        <f t="shared" si="4"/>
        <v>35</v>
      </c>
      <c r="E63" s="34">
        <f t="shared" si="5"/>
        <v>28248.468876396404</v>
      </c>
      <c r="F63" s="43">
        <f t="shared" si="6"/>
        <v>-14144.48</v>
      </c>
      <c r="G63" s="47">
        <f t="shared" si="12"/>
        <v>40.49112359911765</v>
      </c>
      <c r="H63" s="60">
        <f t="shared" si="7"/>
        <v>14144.479999995523</v>
      </c>
      <c r="J63" s="74">
        <f t="shared" si="1"/>
        <v>35</v>
      </c>
      <c r="K63" s="48">
        <f t="shared" si="8"/>
        <v>26916.683268603698</v>
      </c>
      <c r="L63" s="43">
        <f t="shared" si="13"/>
        <v>-13458.341634301669</v>
      </c>
      <c r="M63" s="75">
        <f t="shared" si="3"/>
        <v>13458.341634302029</v>
      </c>
      <c r="N63" s="32"/>
      <c r="O63" s="76">
        <f t="shared" si="15"/>
        <v>-495056.79999999976</v>
      </c>
      <c r="P63" s="39">
        <f t="shared" si="15"/>
        <v>24700.981165135152</v>
      </c>
      <c r="Q63" s="88">
        <f t="shared" si="10"/>
        <v>471041.95720055804</v>
      </c>
      <c r="R63" s="32"/>
    </row>
    <row r="64" spans="2:18" x14ac:dyDescent="0.45">
      <c r="B64" s="7"/>
      <c r="C64" s="19">
        <f t="shared" si="11"/>
        <v>44855</v>
      </c>
      <c r="D64" s="26">
        <f t="shared" si="4"/>
        <v>36</v>
      </c>
      <c r="E64" s="34">
        <f t="shared" si="5"/>
        <v>14144.479999995523</v>
      </c>
      <c r="F64" s="43">
        <f t="shared" si="6"/>
        <v>-14144.48</v>
      </c>
      <c r="G64" s="47">
        <f t="shared" si="12"/>
        <v>-1.2851672632036964E-11</v>
      </c>
      <c r="H64" s="60">
        <f t="shared" si="7"/>
        <v>-4.4893845947583896E-9</v>
      </c>
      <c r="J64" s="74">
        <f t="shared" si="1"/>
        <v>36</v>
      </c>
      <c r="K64" s="48">
        <f t="shared" si="8"/>
        <v>13458.341634302029</v>
      </c>
      <c r="L64" s="43">
        <f t="shared" si="13"/>
        <v>-13458.341634301669</v>
      </c>
      <c r="M64" s="75">
        <f t="shared" si="3"/>
        <v>3.6015990190207958E-10</v>
      </c>
      <c r="N64" s="32"/>
      <c r="O64" s="76">
        <f t="shared" si="15"/>
        <v>-509201.27999999974</v>
      </c>
      <c r="P64" s="39">
        <f t="shared" si="15"/>
        <v>24700.981165135137</v>
      </c>
      <c r="Q64" s="88">
        <f t="shared" si="10"/>
        <v>484500.29883485968</v>
      </c>
      <c r="R64" s="32"/>
    </row>
    <row r="65" spans="2:18" x14ac:dyDescent="0.45">
      <c r="B65" s="7"/>
      <c r="C65" s="19">
        <f t="shared" si="11"/>
        <v>44886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44916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44947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44978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45006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45037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45067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45098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45128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45159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45190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45220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45251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45281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45312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45343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45372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45403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45433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45464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45494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45525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45556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45586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45617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45647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45678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45709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45737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45768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6">DATE(YEAR(C94),MONTH(C94)+1,DAY(C94))</f>
        <v>45798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6"/>
        <v>45829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6"/>
        <v>45859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6"/>
        <v>45890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6"/>
        <v>45921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6"/>
        <v>45951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6"/>
        <v>45982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6"/>
        <v>46012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6"/>
        <v>46043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6"/>
        <v>46074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6"/>
        <v>46102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6"/>
        <v>46133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6"/>
        <v>46163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-4.4819898903369904E-9</v>
      </c>
      <c r="F110" s="43">
        <f>SUM(F29:F107)</f>
        <v>-509201.27999999974</v>
      </c>
      <c r="G110" s="43">
        <f>SUM(G29:G107)</f>
        <v>24700.981165135137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296083.51595463709</v>
      </c>
      <c r="G116" s="119">
        <f>INDEX(M:M,MATCH(DATE(2021,12,DAY(D10)),C:C))</f>
        <v>134583.41634301707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-162364.67464652765</v>
      </c>
      <c r="G119" s="113">
        <f ca="1">IFERROR(SUM(INDIRECT("F"&amp;MATCH(DATE(2022,1,DAY(D10)),C:C)):INDIRECT("G"&amp;MATCH(DATE(2022,1,DAY(D10)),C:C)+11)),VALUE("0"))</f>
        <v>-139636.53957096895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-139636.53957096895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-141444.79999999999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CDC96-A837-4849-A140-A544813D3F40}">
  <dimension ref="B1:R130"/>
  <sheetViews>
    <sheetView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98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7200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43800</v>
      </c>
      <c r="E10" s="12">
        <f>VLOOKUP($C$2,'Lease Summary'!D:H,4,FALSE)</f>
        <v>44895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11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7200</v>
      </c>
      <c r="G22" s="7" t="s">
        <v>229</v>
      </c>
      <c r="H22" s="53">
        <f>-PV(F16,F12,F22,0,1)</f>
        <v>246626.39783229874</v>
      </c>
      <c r="J22" s="17" t="s">
        <v>234</v>
      </c>
      <c r="K22" s="22"/>
      <c r="L22" s="7"/>
      <c r="M22" s="65">
        <f>H22</f>
        <v>246626.39783229874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43800</v>
      </c>
      <c r="D29" s="27">
        <v>1</v>
      </c>
      <c r="E29" s="33">
        <f>H22</f>
        <v>246626.39783229874</v>
      </c>
      <c r="F29" s="42">
        <f>-D7</f>
        <v>-7200</v>
      </c>
      <c r="G29" s="46">
        <f t="shared" ref="G29:G40" si="0">((E29+F29)*($F$16))</f>
        <v>687.36893884988103</v>
      </c>
      <c r="H29" s="59">
        <f>SUM(E29:G29)</f>
        <v>240113.76677114863</v>
      </c>
      <c r="J29" s="69">
        <f t="shared" ref="J29:J64" si="1">D29</f>
        <v>1</v>
      </c>
      <c r="K29" s="70">
        <f>M22</f>
        <v>246626.39783229874</v>
      </c>
      <c r="L29" s="42">
        <f t="shared" ref="L29:L40" si="2">-$M$22/$F$12</f>
        <v>-6850.7332731194092</v>
      </c>
      <c r="M29" s="71">
        <f t="shared" ref="M29:M64" si="3">K29+L29</f>
        <v>239775.66455917933</v>
      </c>
      <c r="N29" s="32"/>
      <c r="O29" s="72">
        <f>+F29</f>
        <v>-7200</v>
      </c>
      <c r="P29" s="73">
        <f>+G29</f>
        <v>687.36893884988103</v>
      </c>
      <c r="Q29" s="71">
        <f>-L29</f>
        <v>6850.7332731194092</v>
      </c>
      <c r="R29" s="85"/>
    </row>
    <row r="30" spans="2:18" x14ac:dyDescent="0.45">
      <c r="B30" s="7"/>
      <c r="C30" s="19">
        <f>DATE(YEAR(C29),MONTH(C29)+1,DAY(C29))</f>
        <v>43831</v>
      </c>
      <c r="D30" s="26">
        <f t="shared" ref="D30:D64" si="4">D29+1</f>
        <v>2</v>
      </c>
      <c r="E30" s="34">
        <f t="shared" ref="E30:E64" si="5">H29</f>
        <v>240113.76677114863</v>
      </c>
      <c r="F30" s="43">
        <f t="shared" ref="F30:F64" si="6">F29</f>
        <v>-7200</v>
      </c>
      <c r="G30" s="47">
        <f t="shared" si="0"/>
        <v>668.67183467860639</v>
      </c>
      <c r="H30" s="60">
        <f t="shared" ref="H30:H64" si="7">SUM(E30:G30)</f>
        <v>233582.43860582722</v>
      </c>
      <c r="J30" s="74">
        <f t="shared" si="1"/>
        <v>2</v>
      </c>
      <c r="K30" s="48">
        <f t="shared" ref="K30:K64" si="8">M29</f>
        <v>239775.66455917933</v>
      </c>
      <c r="L30" s="43">
        <f t="shared" si="2"/>
        <v>-6850.7332731194092</v>
      </c>
      <c r="M30" s="75">
        <f t="shared" si="3"/>
        <v>232924.93128605993</v>
      </c>
      <c r="N30" s="32"/>
      <c r="O30" s="76">
        <f t="shared" ref="O30:P45" si="9">+O29+F30</f>
        <v>-14400</v>
      </c>
      <c r="P30" s="77">
        <f t="shared" si="9"/>
        <v>1356.0407735284875</v>
      </c>
      <c r="Q30" s="75">
        <f t="shared" ref="Q30:Q64" si="10">+Q29-L30</f>
        <v>13701.466546238818</v>
      </c>
      <c r="R30" s="86"/>
    </row>
    <row r="31" spans="2:18" x14ac:dyDescent="0.45">
      <c r="B31" s="7"/>
      <c r="C31" s="19">
        <f t="shared" ref="C31:C94" si="11">DATE(YEAR(C30),MONTH(C30)+1,DAY(C30))</f>
        <v>43862</v>
      </c>
      <c r="D31" s="26">
        <f t="shared" si="4"/>
        <v>3</v>
      </c>
      <c r="E31" s="34">
        <f t="shared" si="5"/>
        <v>233582.43860582722</v>
      </c>
      <c r="F31" s="43">
        <f t="shared" si="6"/>
        <v>-7200</v>
      </c>
      <c r="G31" s="47">
        <f t="shared" si="0"/>
        <v>649.92105301491597</v>
      </c>
      <c r="H31" s="60">
        <f t="shared" si="7"/>
        <v>227032.35965884215</v>
      </c>
      <c r="J31" s="74">
        <f t="shared" si="1"/>
        <v>3</v>
      </c>
      <c r="K31" s="48">
        <f t="shared" si="8"/>
        <v>232924.93128605993</v>
      </c>
      <c r="L31" s="43">
        <f t="shared" si="2"/>
        <v>-6850.7332731194092</v>
      </c>
      <c r="M31" s="75">
        <f t="shared" si="3"/>
        <v>226074.19801294053</v>
      </c>
      <c r="N31" s="32"/>
      <c r="O31" s="76">
        <f t="shared" si="9"/>
        <v>-21600</v>
      </c>
      <c r="P31" s="39">
        <f t="shared" si="9"/>
        <v>2005.9618265434035</v>
      </c>
      <c r="Q31" s="88">
        <f t="shared" si="10"/>
        <v>20552.199819358226</v>
      </c>
      <c r="R31" s="86"/>
    </row>
    <row r="32" spans="2:18" x14ac:dyDescent="0.45">
      <c r="B32" s="7"/>
      <c r="C32" s="19">
        <f t="shared" si="11"/>
        <v>43891</v>
      </c>
      <c r="D32" s="26">
        <f t="shared" si="4"/>
        <v>4</v>
      </c>
      <c r="E32" s="34">
        <f t="shared" si="5"/>
        <v>227032.35965884215</v>
      </c>
      <c r="F32" s="43">
        <f t="shared" si="6"/>
        <v>-7200</v>
      </c>
      <c r="G32" s="47">
        <f t="shared" si="0"/>
        <v>631.11643975616562</v>
      </c>
      <c r="H32" s="60">
        <f t="shared" si="7"/>
        <v>220463.4760985983</v>
      </c>
      <c r="J32" s="74">
        <f t="shared" si="1"/>
        <v>4</v>
      </c>
      <c r="K32" s="48">
        <f t="shared" si="8"/>
        <v>226074.19801294053</v>
      </c>
      <c r="L32" s="43">
        <f t="shared" si="2"/>
        <v>-6850.7332731194092</v>
      </c>
      <c r="M32" s="75">
        <f t="shared" si="3"/>
        <v>219223.46473982112</v>
      </c>
      <c r="N32" s="32"/>
      <c r="O32" s="76">
        <f t="shared" si="9"/>
        <v>-28800</v>
      </c>
      <c r="P32" s="39">
        <f t="shared" si="9"/>
        <v>2637.0782662995689</v>
      </c>
      <c r="Q32" s="88">
        <f t="shared" si="10"/>
        <v>27402.933092477637</v>
      </c>
      <c r="R32" s="86"/>
    </row>
    <row r="33" spans="2:18" x14ac:dyDescent="0.45">
      <c r="B33" s="7"/>
      <c r="C33" s="19">
        <f t="shared" si="11"/>
        <v>43922</v>
      </c>
      <c r="D33" s="26">
        <f t="shared" si="4"/>
        <v>5</v>
      </c>
      <c r="E33" s="34">
        <f t="shared" si="5"/>
        <v>220463.4760985983</v>
      </c>
      <c r="F33" s="43">
        <f t="shared" si="6"/>
        <v>-7200</v>
      </c>
      <c r="G33" s="47">
        <f t="shared" si="0"/>
        <v>612.25784035729794</v>
      </c>
      <c r="H33" s="60">
        <f t="shared" si="7"/>
        <v>213875.73393895559</v>
      </c>
      <c r="J33" s="74">
        <f t="shared" si="1"/>
        <v>5</v>
      </c>
      <c r="K33" s="48">
        <f t="shared" si="8"/>
        <v>219223.46473982112</v>
      </c>
      <c r="L33" s="43">
        <f t="shared" si="2"/>
        <v>-6850.7332731194092</v>
      </c>
      <c r="M33" s="75">
        <f t="shared" si="3"/>
        <v>212372.73146670172</v>
      </c>
      <c r="N33" s="32"/>
      <c r="O33" s="76">
        <f t="shared" si="9"/>
        <v>-36000</v>
      </c>
      <c r="P33" s="39">
        <f t="shared" si="9"/>
        <v>3249.3361066568668</v>
      </c>
      <c r="Q33" s="88">
        <f t="shared" si="10"/>
        <v>34253.666365597048</v>
      </c>
      <c r="R33" s="86"/>
    </row>
    <row r="34" spans="2:18" x14ac:dyDescent="0.45">
      <c r="B34" s="7"/>
      <c r="C34" s="19">
        <f t="shared" si="11"/>
        <v>43952</v>
      </c>
      <c r="D34" s="26">
        <f t="shared" si="4"/>
        <v>6</v>
      </c>
      <c r="E34" s="34">
        <f t="shared" si="5"/>
        <v>213875.73393895559</v>
      </c>
      <c r="F34" s="43">
        <f t="shared" si="6"/>
        <v>-7200</v>
      </c>
      <c r="G34" s="47">
        <f t="shared" si="0"/>
        <v>593.34509982957252</v>
      </c>
      <c r="H34" s="60">
        <f t="shared" si="7"/>
        <v>207269.07903878516</v>
      </c>
      <c r="J34" s="74">
        <f t="shared" si="1"/>
        <v>6</v>
      </c>
      <c r="K34" s="48">
        <f t="shared" si="8"/>
        <v>212372.73146670172</v>
      </c>
      <c r="L34" s="43">
        <f t="shared" si="2"/>
        <v>-6850.7332731194092</v>
      </c>
      <c r="M34" s="75">
        <f t="shared" si="3"/>
        <v>205521.99819358232</v>
      </c>
      <c r="N34" s="32"/>
      <c r="O34" s="76">
        <f t="shared" si="9"/>
        <v>-43200</v>
      </c>
      <c r="P34" s="39">
        <f t="shared" si="9"/>
        <v>3842.6812064864394</v>
      </c>
      <c r="Q34" s="88">
        <f t="shared" si="10"/>
        <v>41104.399638716459</v>
      </c>
      <c r="R34" s="86"/>
    </row>
    <row r="35" spans="2:18" x14ac:dyDescent="0.45">
      <c r="B35" s="7"/>
      <c r="C35" s="19">
        <f t="shared" si="11"/>
        <v>43983</v>
      </c>
      <c r="D35" s="26">
        <f t="shared" si="4"/>
        <v>7</v>
      </c>
      <c r="E35" s="34">
        <f t="shared" si="5"/>
        <v>207269.07903878516</v>
      </c>
      <c r="F35" s="43">
        <f t="shared" si="6"/>
        <v>-7200</v>
      </c>
      <c r="G35" s="47">
        <f t="shared" si="0"/>
        <v>574.37806273929175</v>
      </c>
      <c r="H35" s="60">
        <f t="shared" si="7"/>
        <v>200643.45710152446</v>
      </c>
      <c r="J35" s="74">
        <f t="shared" si="1"/>
        <v>7</v>
      </c>
      <c r="K35" s="48">
        <f t="shared" si="8"/>
        <v>205521.99819358232</v>
      </c>
      <c r="L35" s="43">
        <f t="shared" si="2"/>
        <v>-6850.7332731194092</v>
      </c>
      <c r="M35" s="75">
        <f t="shared" si="3"/>
        <v>198671.26492046291</v>
      </c>
      <c r="N35" s="32"/>
      <c r="O35" s="76">
        <f t="shared" si="9"/>
        <v>-50400</v>
      </c>
      <c r="P35" s="39">
        <f t="shared" si="9"/>
        <v>4417.0592692257314</v>
      </c>
      <c r="Q35" s="88">
        <f t="shared" si="10"/>
        <v>47955.13291183587</v>
      </c>
      <c r="R35" s="86"/>
    </row>
    <row r="36" spans="2:18" x14ac:dyDescent="0.45">
      <c r="B36" s="7"/>
      <c r="C36" s="19">
        <f t="shared" si="11"/>
        <v>44013</v>
      </c>
      <c r="D36" s="26">
        <f t="shared" si="4"/>
        <v>8</v>
      </c>
      <c r="E36" s="34">
        <f t="shared" si="5"/>
        <v>200643.45710152446</v>
      </c>
      <c r="F36" s="43">
        <f t="shared" si="6"/>
        <v>-7200</v>
      </c>
      <c r="G36" s="47">
        <f t="shared" si="0"/>
        <v>555.35657320652399</v>
      </c>
      <c r="H36" s="60">
        <f t="shared" si="7"/>
        <v>193998.81367473098</v>
      </c>
      <c r="J36" s="74">
        <f t="shared" si="1"/>
        <v>8</v>
      </c>
      <c r="K36" s="48">
        <f t="shared" si="8"/>
        <v>198671.26492046291</v>
      </c>
      <c r="L36" s="43">
        <f t="shared" si="2"/>
        <v>-6850.7332731194092</v>
      </c>
      <c r="M36" s="75">
        <f t="shared" si="3"/>
        <v>191820.53164734351</v>
      </c>
      <c r="N36" s="32"/>
      <c r="O36" s="76">
        <f t="shared" si="9"/>
        <v>-57600</v>
      </c>
      <c r="P36" s="39">
        <f t="shared" si="9"/>
        <v>4972.4158424322559</v>
      </c>
      <c r="Q36" s="88">
        <f t="shared" si="10"/>
        <v>54805.866184955281</v>
      </c>
      <c r="R36" s="86"/>
    </row>
    <row r="37" spans="2:18" x14ac:dyDescent="0.45">
      <c r="B37" s="7"/>
      <c r="C37" s="19">
        <f t="shared" si="11"/>
        <v>44044</v>
      </c>
      <c r="D37" s="26">
        <f t="shared" si="4"/>
        <v>9</v>
      </c>
      <c r="E37" s="34">
        <f t="shared" si="5"/>
        <v>193998.81367473098</v>
      </c>
      <c r="F37" s="43">
        <f t="shared" si="6"/>
        <v>-7200</v>
      </c>
      <c r="G37" s="47">
        <f t="shared" si="0"/>
        <v>536.28047490382153</v>
      </c>
      <c r="H37" s="60">
        <f t="shared" si="7"/>
        <v>187335.0941496348</v>
      </c>
      <c r="J37" s="74">
        <f t="shared" si="1"/>
        <v>9</v>
      </c>
      <c r="K37" s="48">
        <f t="shared" si="8"/>
        <v>191820.53164734351</v>
      </c>
      <c r="L37" s="43">
        <f t="shared" si="2"/>
        <v>-6850.7332731194092</v>
      </c>
      <c r="M37" s="75">
        <f t="shared" si="3"/>
        <v>184969.7983742241</v>
      </c>
      <c r="N37" s="32"/>
      <c r="O37" s="76">
        <f t="shared" si="9"/>
        <v>-64800</v>
      </c>
      <c r="P37" s="39">
        <f t="shared" si="9"/>
        <v>5508.6963173360773</v>
      </c>
      <c r="Q37" s="88">
        <f t="shared" si="10"/>
        <v>61656.599458074692</v>
      </c>
      <c r="R37" s="86"/>
    </row>
    <row r="38" spans="2:18" x14ac:dyDescent="0.45">
      <c r="B38" s="7"/>
      <c r="C38" s="19">
        <f t="shared" si="11"/>
        <v>44075</v>
      </c>
      <c r="D38" s="26">
        <f t="shared" si="4"/>
        <v>10</v>
      </c>
      <c r="E38" s="34">
        <f t="shared" si="5"/>
        <v>187335.0941496348</v>
      </c>
      <c r="F38" s="43">
        <f t="shared" si="6"/>
        <v>-7200</v>
      </c>
      <c r="G38" s="47">
        <f t="shared" si="0"/>
        <v>517.14961105493683</v>
      </c>
      <c r="H38" s="60">
        <f t="shared" si="7"/>
        <v>180652.24376068974</v>
      </c>
      <c r="J38" s="74">
        <f t="shared" si="1"/>
        <v>10</v>
      </c>
      <c r="K38" s="48">
        <f t="shared" si="8"/>
        <v>184969.7983742241</v>
      </c>
      <c r="L38" s="43">
        <f t="shared" si="2"/>
        <v>-6850.7332731194092</v>
      </c>
      <c r="M38" s="75">
        <f t="shared" si="3"/>
        <v>178119.0651011047</v>
      </c>
      <c r="N38" s="32"/>
      <c r="O38" s="76">
        <f t="shared" si="9"/>
        <v>-72000</v>
      </c>
      <c r="P38" s="39">
        <f t="shared" si="9"/>
        <v>6025.8459283910142</v>
      </c>
      <c r="Q38" s="88">
        <f t="shared" si="10"/>
        <v>68507.332731194096</v>
      </c>
      <c r="R38" s="87"/>
    </row>
    <row r="39" spans="2:18" x14ac:dyDescent="0.45">
      <c r="B39" s="7"/>
      <c r="C39" s="19">
        <f t="shared" si="11"/>
        <v>44105</v>
      </c>
      <c r="D39" s="26">
        <f t="shared" si="4"/>
        <v>11</v>
      </c>
      <c r="E39" s="34">
        <f t="shared" si="5"/>
        <v>180652.24376068974</v>
      </c>
      <c r="F39" s="43">
        <f t="shared" si="6"/>
        <v>-7200</v>
      </c>
      <c r="G39" s="47">
        <f t="shared" si="0"/>
        <v>497.96382443353366</v>
      </c>
      <c r="H39" s="60">
        <f t="shared" si="7"/>
        <v>173950.20758512328</v>
      </c>
      <c r="J39" s="74">
        <f t="shared" si="1"/>
        <v>11</v>
      </c>
      <c r="K39" s="48">
        <f t="shared" si="8"/>
        <v>178119.0651011047</v>
      </c>
      <c r="L39" s="43">
        <f t="shared" si="2"/>
        <v>-6850.7332731194092</v>
      </c>
      <c r="M39" s="75">
        <f t="shared" si="3"/>
        <v>171268.3318279853</v>
      </c>
      <c r="N39" s="32"/>
      <c r="O39" s="76">
        <f t="shared" si="9"/>
        <v>-79200</v>
      </c>
      <c r="P39" s="39">
        <f t="shared" si="9"/>
        <v>6523.809752824548</v>
      </c>
      <c r="Q39" s="88">
        <f t="shared" si="10"/>
        <v>75358.066004313499</v>
      </c>
      <c r="R39" s="87"/>
    </row>
    <row r="40" spans="2:18" x14ac:dyDescent="0.45">
      <c r="B40" s="7"/>
      <c r="C40" s="19">
        <f t="shared" si="11"/>
        <v>44136</v>
      </c>
      <c r="D40" s="26">
        <f t="shared" si="4"/>
        <v>12</v>
      </c>
      <c r="E40" s="34">
        <f t="shared" si="5"/>
        <v>173950.20758512328</v>
      </c>
      <c r="F40" s="43">
        <f t="shared" si="6"/>
        <v>-7200</v>
      </c>
      <c r="G40" s="47">
        <f t="shared" si="0"/>
        <v>478.7229573618946</v>
      </c>
      <c r="H40" s="60">
        <f t="shared" si="7"/>
        <v>167228.93054248518</v>
      </c>
      <c r="J40" s="74">
        <f t="shared" si="1"/>
        <v>12</v>
      </c>
      <c r="K40" s="48">
        <f t="shared" si="8"/>
        <v>171268.3318279853</v>
      </c>
      <c r="L40" s="43">
        <f t="shared" si="2"/>
        <v>-6850.7332731194092</v>
      </c>
      <c r="M40" s="75">
        <f t="shared" si="3"/>
        <v>164417.59855486589</v>
      </c>
      <c r="N40" s="32"/>
      <c r="O40" s="76">
        <f t="shared" si="9"/>
        <v>-86400</v>
      </c>
      <c r="P40" s="39">
        <f t="shared" si="9"/>
        <v>7002.5327101864423</v>
      </c>
      <c r="Q40" s="88">
        <f t="shared" si="10"/>
        <v>82208.799277432903</v>
      </c>
      <c r="R40" s="87"/>
    </row>
    <row r="41" spans="2:18" x14ac:dyDescent="0.45">
      <c r="B41" s="7"/>
      <c r="C41" s="19">
        <f t="shared" si="11"/>
        <v>44166</v>
      </c>
      <c r="D41" s="26">
        <f t="shared" si="4"/>
        <v>13</v>
      </c>
      <c r="E41" s="34">
        <f t="shared" si="5"/>
        <v>167228.93054248518</v>
      </c>
      <c r="F41" s="43">
        <f t="shared" si="6"/>
        <v>-7200</v>
      </c>
      <c r="G41" s="47">
        <f t="shared" ref="G41:G64" si="12">((E41+F41)*($F$16))</f>
        <v>459.42685170962562</v>
      </c>
      <c r="H41" s="60">
        <f t="shared" si="7"/>
        <v>160488.35739419481</v>
      </c>
      <c r="J41" s="74">
        <f t="shared" si="1"/>
        <v>13</v>
      </c>
      <c r="K41" s="48">
        <f t="shared" si="8"/>
        <v>164417.59855486589</v>
      </c>
      <c r="L41" s="43">
        <f t="shared" ref="L41:L64" si="13">-$M$22/$F$12</f>
        <v>-6850.7332731194092</v>
      </c>
      <c r="M41" s="75">
        <f t="shared" si="3"/>
        <v>157566.86528174649</v>
      </c>
      <c r="N41" s="32"/>
      <c r="O41" s="76">
        <f t="shared" si="9"/>
        <v>-93600</v>
      </c>
      <c r="P41" s="39">
        <f t="shared" si="9"/>
        <v>7461.9595618960675</v>
      </c>
      <c r="Q41" s="88">
        <f t="shared" si="10"/>
        <v>89059.532550552307</v>
      </c>
      <c r="R41" s="87"/>
    </row>
    <row r="42" spans="2:18" x14ac:dyDescent="0.45">
      <c r="B42" s="7"/>
      <c r="C42" s="19">
        <f t="shared" si="11"/>
        <v>44197</v>
      </c>
      <c r="D42" s="26">
        <f t="shared" si="4"/>
        <v>14</v>
      </c>
      <c r="E42" s="34">
        <f t="shared" si="5"/>
        <v>160488.35739419481</v>
      </c>
      <c r="F42" s="43">
        <f t="shared" si="6"/>
        <v>-7200</v>
      </c>
      <c r="G42" s="47">
        <f t="shared" si="12"/>
        <v>440.07534889235643</v>
      </c>
      <c r="H42" s="60">
        <f t="shared" si="7"/>
        <v>153728.43274308718</v>
      </c>
      <c r="J42" s="74">
        <f t="shared" si="1"/>
        <v>14</v>
      </c>
      <c r="K42" s="48">
        <f t="shared" si="8"/>
        <v>157566.86528174649</v>
      </c>
      <c r="L42" s="43">
        <f t="shared" si="13"/>
        <v>-6850.7332731194092</v>
      </c>
      <c r="M42" s="75">
        <f t="shared" si="3"/>
        <v>150716.13200862709</v>
      </c>
      <c r="N42" s="32"/>
      <c r="O42" s="76">
        <f t="shared" si="9"/>
        <v>-100800</v>
      </c>
      <c r="P42" s="39">
        <f t="shared" si="9"/>
        <v>7902.034910788424</v>
      </c>
      <c r="Q42" s="88">
        <f t="shared" si="10"/>
        <v>95910.265823671711</v>
      </c>
      <c r="R42" s="87"/>
    </row>
    <row r="43" spans="2:18" x14ac:dyDescent="0.45">
      <c r="B43" s="7"/>
      <c r="C43" s="19">
        <f t="shared" si="11"/>
        <v>44228</v>
      </c>
      <c r="D43" s="26">
        <f t="shared" si="4"/>
        <v>15</v>
      </c>
      <c r="E43" s="34">
        <f t="shared" si="5"/>
        <v>153728.43274308718</v>
      </c>
      <c r="F43" s="43">
        <f t="shared" si="6"/>
        <v>-7200</v>
      </c>
      <c r="G43" s="47">
        <f t="shared" si="12"/>
        <v>420.66828987043692</v>
      </c>
      <c r="H43" s="60">
        <f t="shared" si="7"/>
        <v>146949.10103295761</v>
      </c>
      <c r="J43" s="74">
        <f t="shared" si="1"/>
        <v>15</v>
      </c>
      <c r="K43" s="48">
        <f t="shared" si="8"/>
        <v>150716.13200862709</v>
      </c>
      <c r="L43" s="43">
        <f t="shared" si="13"/>
        <v>-6850.7332731194092</v>
      </c>
      <c r="M43" s="75">
        <f t="shared" si="3"/>
        <v>143865.39873550768</v>
      </c>
      <c r="N43" s="32"/>
      <c r="O43" s="76">
        <f t="shared" si="9"/>
        <v>-108000</v>
      </c>
      <c r="P43" s="39">
        <f t="shared" si="9"/>
        <v>8322.7032006588615</v>
      </c>
      <c r="Q43" s="88">
        <f t="shared" si="10"/>
        <v>102760.99909679111</v>
      </c>
      <c r="R43" s="87"/>
    </row>
    <row r="44" spans="2:18" x14ac:dyDescent="0.45">
      <c r="B44" s="7"/>
      <c r="C44" s="19">
        <f t="shared" si="11"/>
        <v>44256</v>
      </c>
      <c r="D44" s="26">
        <f t="shared" si="4"/>
        <v>16</v>
      </c>
      <c r="E44" s="34">
        <f t="shared" si="5"/>
        <v>146949.10103295761</v>
      </c>
      <c r="F44" s="43">
        <f t="shared" si="6"/>
        <v>-7200</v>
      </c>
      <c r="G44" s="47">
        <f t="shared" si="12"/>
        <v>401.20551514763025</v>
      </c>
      <c r="H44" s="60">
        <f t="shared" si="7"/>
        <v>140150.30654810523</v>
      </c>
      <c r="J44" s="74">
        <f t="shared" si="1"/>
        <v>16</v>
      </c>
      <c r="K44" s="48">
        <f t="shared" si="8"/>
        <v>143865.39873550768</v>
      </c>
      <c r="L44" s="43">
        <f t="shared" si="13"/>
        <v>-6850.7332731194092</v>
      </c>
      <c r="M44" s="75">
        <f t="shared" si="3"/>
        <v>137014.66546238828</v>
      </c>
      <c r="N44" s="32"/>
      <c r="O44" s="76">
        <f t="shared" si="9"/>
        <v>-115200</v>
      </c>
      <c r="P44" s="39">
        <f t="shared" si="9"/>
        <v>8723.9087158064922</v>
      </c>
      <c r="Q44" s="88">
        <f t="shared" si="10"/>
        <v>109611.73236991052</v>
      </c>
      <c r="R44" s="87"/>
    </row>
    <row r="45" spans="2:18" x14ac:dyDescent="0.45">
      <c r="B45" s="7"/>
      <c r="C45" s="19">
        <f t="shared" si="11"/>
        <v>44287</v>
      </c>
      <c r="D45" s="26">
        <f t="shared" si="4"/>
        <v>17</v>
      </c>
      <c r="E45" s="34">
        <f t="shared" si="5"/>
        <v>140150.30654810523</v>
      </c>
      <c r="F45" s="43">
        <f t="shared" si="6"/>
        <v>-7200</v>
      </c>
      <c r="G45" s="47">
        <f t="shared" si="12"/>
        <v>381.68686476980224</v>
      </c>
      <c r="H45" s="60">
        <f t="shared" si="7"/>
        <v>133331.99341287505</v>
      </c>
      <c r="J45" s="74">
        <f t="shared" si="1"/>
        <v>17</v>
      </c>
      <c r="K45" s="48">
        <f t="shared" si="8"/>
        <v>137014.66546238828</v>
      </c>
      <c r="L45" s="43">
        <f t="shared" si="13"/>
        <v>-6850.7332731194092</v>
      </c>
      <c r="M45" s="75">
        <f t="shared" si="3"/>
        <v>130163.93218926887</v>
      </c>
      <c r="N45" s="32"/>
      <c r="O45" s="76">
        <f t="shared" si="9"/>
        <v>-122400</v>
      </c>
      <c r="P45" s="39">
        <f t="shared" si="9"/>
        <v>9105.5955805762951</v>
      </c>
      <c r="Q45" s="88">
        <f t="shared" si="10"/>
        <v>116462.46564302992</v>
      </c>
      <c r="R45" s="87"/>
    </row>
    <row r="46" spans="2:18" x14ac:dyDescent="0.45">
      <c r="B46" s="7"/>
      <c r="C46" s="19">
        <f t="shared" si="11"/>
        <v>44317</v>
      </c>
      <c r="D46" s="26">
        <f t="shared" si="4"/>
        <v>18</v>
      </c>
      <c r="E46" s="34">
        <f t="shared" si="5"/>
        <v>133331.99341287505</v>
      </c>
      <c r="F46" s="43">
        <f t="shared" si="6"/>
        <v>-7200</v>
      </c>
      <c r="G46" s="47">
        <f t="shared" si="12"/>
        <v>362.11217832360643</v>
      </c>
      <c r="H46" s="60">
        <f t="shared" si="7"/>
        <v>126494.10559119865</v>
      </c>
      <c r="J46" s="74">
        <f t="shared" si="1"/>
        <v>18</v>
      </c>
      <c r="K46" s="48">
        <f t="shared" si="8"/>
        <v>130163.93218926887</v>
      </c>
      <c r="L46" s="43">
        <f t="shared" si="13"/>
        <v>-6850.7332731194092</v>
      </c>
      <c r="M46" s="75">
        <f t="shared" si="3"/>
        <v>123313.19891614947</v>
      </c>
      <c r="N46" s="32"/>
      <c r="O46" s="76">
        <f t="shared" ref="O46:P61" si="14">+O45+F46</f>
        <v>-129600</v>
      </c>
      <c r="P46" s="39">
        <f t="shared" si="14"/>
        <v>9467.7077588999018</v>
      </c>
      <c r="Q46" s="88">
        <f t="shared" si="10"/>
        <v>123313.19891614933</v>
      </c>
      <c r="R46" s="87"/>
    </row>
    <row r="47" spans="2:18" x14ac:dyDescent="0.45">
      <c r="B47" s="7"/>
      <c r="C47" s="19">
        <f t="shared" si="11"/>
        <v>44348</v>
      </c>
      <c r="D47" s="26">
        <f t="shared" si="4"/>
        <v>19</v>
      </c>
      <c r="E47" s="34">
        <f t="shared" si="5"/>
        <v>126494.10559119865</v>
      </c>
      <c r="F47" s="43">
        <f t="shared" si="6"/>
        <v>-7200</v>
      </c>
      <c r="G47" s="47">
        <f t="shared" si="12"/>
        <v>342.48129493516592</v>
      </c>
      <c r="H47" s="60">
        <f t="shared" si="7"/>
        <v>119636.58688613381</v>
      </c>
      <c r="J47" s="74">
        <f t="shared" si="1"/>
        <v>19</v>
      </c>
      <c r="K47" s="48">
        <f t="shared" si="8"/>
        <v>123313.19891614947</v>
      </c>
      <c r="L47" s="43">
        <f t="shared" si="13"/>
        <v>-6850.7332731194092</v>
      </c>
      <c r="M47" s="75">
        <f t="shared" si="3"/>
        <v>116462.46564303007</v>
      </c>
      <c r="N47" s="32"/>
      <c r="O47" s="76">
        <f t="shared" si="14"/>
        <v>-136800</v>
      </c>
      <c r="P47" s="39">
        <f t="shared" si="14"/>
        <v>9810.1890538350672</v>
      </c>
      <c r="Q47" s="88">
        <f t="shared" si="10"/>
        <v>130163.93218926873</v>
      </c>
      <c r="R47" s="87"/>
    </row>
    <row r="48" spans="2:18" x14ac:dyDescent="0.45">
      <c r="B48" s="7"/>
      <c r="C48" s="19">
        <f t="shared" si="11"/>
        <v>44378</v>
      </c>
      <c r="D48" s="26">
        <f t="shared" si="4"/>
        <v>20</v>
      </c>
      <c r="E48" s="34">
        <f t="shared" si="5"/>
        <v>119636.58688613381</v>
      </c>
      <c r="F48" s="43">
        <f t="shared" si="6"/>
        <v>-7200</v>
      </c>
      <c r="G48" s="47">
        <f t="shared" si="12"/>
        <v>322.79405326875116</v>
      </c>
      <c r="H48" s="60">
        <f t="shared" si="7"/>
        <v>112759.38093940256</v>
      </c>
      <c r="J48" s="74">
        <f t="shared" si="1"/>
        <v>20</v>
      </c>
      <c r="K48" s="48">
        <f t="shared" si="8"/>
        <v>116462.46564303007</v>
      </c>
      <c r="L48" s="43">
        <f t="shared" si="13"/>
        <v>-6850.7332731194092</v>
      </c>
      <c r="M48" s="75">
        <f t="shared" si="3"/>
        <v>109611.73236991066</v>
      </c>
      <c r="N48" s="32"/>
      <c r="O48" s="76">
        <f t="shared" si="14"/>
        <v>-144000</v>
      </c>
      <c r="P48" s="39">
        <f t="shared" si="14"/>
        <v>10132.983107103819</v>
      </c>
      <c r="Q48" s="88">
        <f t="shared" si="10"/>
        <v>137014.66546238813</v>
      </c>
      <c r="R48" s="87"/>
    </row>
    <row r="49" spans="2:18" x14ac:dyDescent="0.45">
      <c r="B49" s="7"/>
      <c r="C49" s="19">
        <f t="shared" si="11"/>
        <v>44409</v>
      </c>
      <c r="D49" s="26">
        <f t="shared" si="4"/>
        <v>21</v>
      </c>
      <c r="E49" s="34">
        <f t="shared" si="5"/>
        <v>112759.38093940256</v>
      </c>
      <c r="F49" s="43">
        <f t="shared" si="6"/>
        <v>-7200</v>
      </c>
      <c r="G49" s="47">
        <f t="shared" si="12"/>
        <v>303.0502915254541</v>
      </c>
      <c r="H49" s="60">
        <f t="shared" si="7"/>
        <v>105862.43123092801</v>
      </c>
      <c r="J49" s="74">
        <f t="shared" si="1"/>
        <v>21</v>
      </c>
      <c r="K49" s="48">
        <f t="shared" si="8"/>
        <v>109611.73236991066</v>
      </c>
      <c r="L49" s="43">
        <f t="shared" si="13"/>
        <v>-6850.7332731194092</v>
      </c>
      <c r="M49" s="75">
        <f t="shared" si="3"/>
        <v>102760.99909679126</v>
      </c>
      <c r="N49" s="80"/>
      <c r="O49" s="76">
        <f t="shared" si="14"/>
        <v>-151200</v>
      </c>
      <c r="P49" s="39">
        <f t="shared" si="14"/>
        <v>10436.033398629274</v>
      </c>
      <c r="Q49" s="88">
        <f t="shared" si="10"/>
        <v>143865.39873550754</v>
      </c>
      <c r="R49" s="87"/>
    </row>
    <row r="50" spans="2:18" x14ac:dyDescent="0.45">
      <c r="B50" s="7"/>
      <c r="C50" s="19">
        <f t="shared" si="11"/>
        <v>44440</v>
      </c>
      <c r="D50" s="26">
        <f t="shared" si="4"/>
        <v>22</v>
      </c>
      <c r="E50" s="34">
        <f t="shared" si="5"/>
        <v>105862.43123092801</v>
      </c>
      <c r="F50" s="43">
        <f t="shared" si="6"/>
        <v>-7200</v>
      </c>
      <c r="G50" s="47">
        <f t="shared" si="12"/>
        <v>283.24984744185849</v>
      </c>
      <c r="H50" s="60">
        <f t="shared" si="7"/>
        <v>98945.68107836986</v>
      </c>
      <c r="J50" s="74">
        <f t="shared" si="1"/>
        <v>22</v>
      </c>
      <c r="K50" s="48">
        <f t="shared" si="8"/>
        <v>102760.99909679126</v>
      </c>
      <c r="L50" s="43">
        <f t="shared" si="13"/>
        <v>-6850.7332731194092</v>
      </c>
      <c r="M50" s="75">
        <f t="shared" si="3"/>
        <v>95910.265823671856</v>
      </c>
      <c r="N50" s="32"/>
      <c r="O50" s="76">
        <f t="shared" si="14"/>
        <v>-158400</v>
      </c>
      <c r="P50" s="39">
        <f t="shared" si="14"/>
        <v>10719.283246071132</v>
      </c>
      <c r="Q50" s="88">
        <f t="shared" si="10"/>
        <v>150716.13200862694</v>
      </c>
      <c r="R50" s="32"/>
    </row>
    <row r="51" spans="2:18" x14ac:dyDescent="0.45">
      <c r="B51" s="7"/>
      <c r="C51" s="19">
        <f t="shared" si="11"/>
        <v>44470</v>
      </c>
      <c r="D51" s="26">
        <f t="shared" si="4"/>
        <v>23</v>
      </c>
      <c r="E51" s="34">
        <f t="shared" si="5"/>
        <v>98945.68107836986</v>
      </c>
      <c r="F51" s="43">
        <f t="shared" si="6"/>
        <v>-7200</v>
      </c>
      <c r="G51" s="47">
        <f t="shared" si="12"/>
        <v>263.39255828870614</v>
      </c>
      <c r="H51" s="60">
        <f t="shared" si="7"/>
        <v>92009.073636658562</v>
      </c>
      <c r="J51" s="74">
        <f t="shared" si="1"/>
        <v>23</v>
      </c>
      <c r="K51" s="48">
        <f t="shared" si="8"/>
        <v>95910.265823671856</v>
      </c>
      <c r="L51" s="43">
        <f t="shared" si="13"/>
        <v>-6850.7332731194092</v>
      </c>
      <c r="M51" s="75">
        <f t="shared" si="3"/>
        <v>89059.532550552452</v>
      </c>
      <c r="N51" s="32"/>
      <c r="O51" s="76">
        <f t="shared" si="14"/>
        <v>-165600</v>
      </c>
      <c r="P51" s="39">
        <f t="shared" si="14"/>
        <v>10982.675804359838</v>
      </c>
      <c r="Q51" s="88">
        <f t="shared" si="10"/>
        <v>157566.86528174634</v>
      </c>
      <c r="R51" s="32"/>
    </row>
    <row r="52" spans="2:18" x14ac:dyDescent="0.45">
      <c r="B52" s="7"/>
      <c r="C52" s="19">
        <f t="shared" si="11"/>
        <v>44501</v>
      </c>
      <c r="D52" s="26">
        <f t="shared" si="4"/>
        <v>24</v>
      </c>
      <c r="E52" s="34">
        <f t="shared" si="5"/>
        <v>92009.073636658562</v>
      </c>
      <c r="F52" s="43">
        <f t="shared" si="6"/>
        <v>-7200</v>
      </c>
      <c r="G52" s="47">
        <f t="shared" si="12"/>
        <v>243.4782608695597</v>
      </c>
      <c r="H52" s="60">
        <f t="shared" si="7"/>
        <v>85052.551897528116</v>
      </c>
      <c r="J52" s="74">
        <f t="shared" si="1"/>
        <v>24</v>
      </c>
      <c r="K52" s="48">
        <f t="shared" si="8"/>
        <v>89059.532550552452</v>
      </c>
      <c r="L52" s="43">
        <f t="shared" si="13"/>
        <v>-6850.7332731194092</v>
      </c>
      <c r="M52" s="75">
        <f t="shared" si="3"/>
        <v>82208.799277433049</v>
      </c>
      <c r="N52" s="32"/>
      <c r="O52" s="76">
        <f t="shared" si="14"/>
        <v>-172800</v>
      </c>
      <c r="P52" s="39">
        <f t="shared" si="14"/>
        <v>11226.154065229399</v>
      </c>
      <c r="Q52" s="88">
        <f t="shared" si="10"/>
        <v>164417.59855486575</v>
      </c>
      <c r="R52" s="32"/>
    </row>
    <row r="53" spans="2:18" x14ac:dyDescent="0.45">
      <c r="B53" s="7"/>
      <c r="C53" s="19">
        <f t="shared" si="11"/>
        <v>44531</v>
      </c>
      <c r="D53" s="26">
        <f t="shared" si="4"/>
        <v>25</v>
      </c>
      <c r="E53" s="34">
        <f t="shared" si="5"/>
        <v>85052.551897528116</v>
      </c>
      <c r="F53" s="43">
        <f t="shared" si="6"/>
        <v>-7200</v>
      </c>
      <c r="G53" s="47">
        <f t="shared" si="12"/>
        <v>223.50679151946127</v>
      </c>
      <c r="H53" s="60">
        <f t="shared" si="7"/>
        <v>78076.058689047582</v>
      </c>
      <c r="J53" s="74">
        <f t="shared" si="1"/>
        <v>25</v>
      </c>
      <c r="K53" s="48">
        <f t="shared" si="8"/>
        <v>82208.799277433049</v>
      </c>
      <c r="L53" s="43">
        <f t="shared" si="13"/>
        <v>-6850.7332731194092</v>
      </c>
      <c r="M53" s="75">
        <f t="shared" si="3"/>
        <v>75358.066004313645</v>
      </c>
      <c r="N53" s="32"/>
      <c r="O53" s="76">
        <f t="shared" si="14"/>
        <v>-180000</v>
      </c>
      <c r="P53" s="39">
        <f t="shared" si="14"/>
        <v>11449.66085674886</v>
      </c>
      <c r="Q53" s="88">
        <f t="shared" si="10"/>
        <v>171268.33182798515</v>
      </c>
      <c r="R53" s="32"/>
    </row>
    <row r="54" spans="2:18" x14ac:dyDescent="0.45">
      <c r="B54" s="7"/>
      <c r="C54" s="19">
        <f t="shared" si="11"/>
        <v>44562</v>
      </c>
      <c r="D54" s="26">
        <f t="shared" si="4"/>
        <v>26</v>
      </c>
      <c r="E54" s="34">
        <f t="shared" si="5"/>
        <v>78076.058689047582</v>
      </c>
      <c r="F54" s="43">
        <f t="shared" si="6"/>
        <v>-7200</v>
      </c>
      <c r="G54" s="47">
        <f t="shared" si="12"/>
        <v>203.47798610358763</v>
      </c>
      <c r="H54" s="60">
        <f t="shared" si="7"/>
        <v>71079.536675151176</v>
      </c>
      <c r="J54" s="74">
        <f t="shared" si="1"/>
        <v>26</v>
      </c>
      <c r="K54" s="48">
        <f t="shared" si="8"/>
        <v>75358.066004313645</v>
      </c>
      <c r="L54" s="43">
        <f t="shared" si="13"/>
        <v>-6850.7332731194092</v>
      </c>
      <c r="M54" s="75">
        <f t="shared" si="3"/>
        <v>68507.332731194241</v>
      </c>
      <c r="N54" s="32"/>
      <c r="O54" s="76">
        <f t="shared" si="14"/>
        <v>-187200</v>
      </c>
      <c r="P54" s="39">
        <f t="shared" si="14"/>
        <v>11653.138842852448</v>
      </c>
      <c r="Q54" s="88">
        <f t="shared" si="10"/>
        <v>178119.06510110456</v>
      </c>
      <c r="R54" s="32"/>
    </row>
    <row r="55" spans="2:18" x14ac:dyDescent="0.45">
      <c r="B55" s="7"/>
      <c r="C55" s="19">
        <f t="shared" si="11"/>
        <v>44593</v>
      </c>
      <c r="D55" s="26">
        <f t="shared" si="4"/>
        <v>27</v>
      </c>
      <c r="E55" s="34">
        <f t="shared" si="5"/>
        <v>71079.536675151176</v>
      </c>
      <c r="F55" s="43">
        <f t="shared" si="6"/>
        <v>-7200</v>
      </c>
      <c r="G55" s="47">
        <f t="shared" si="12"/>
        <v>183.3916800159009</v>
      </c>
      <c r="H55" s="60">
        <f t="shared" si="7"/>
        <v>64062.928355167074</v>
      </c>
      <c r="J55" s="74">
        <f t="shared" si="1"/>
        <v>27</v>
      </c>
      <c r="K55" s="48">
        <f t="shared" si="8"/>
        <v>68507.332731194241</v>
      </c>
      <c r="L55" s="43">
        <f t="shared" si="13"/>
        <v>-6850.7332731194092</v>
      </c>
      <c r="M55" s="75">
        <f t="shared" si="3"/>
        <v>61656.59945807483</v>
      </c>
      <c r="N55" s="32"/>
      <c r="O55" s="76">
        <f t="shared" si="14"/>
        <v>-194400</v>
      </c>
      <c r="P55" s="39">
        <f t="shared" si="14"/>
        <v>11836.530522868348</v>
      </c>
      <c r="Q55" s="88">
        <f t="shared" si="10"/>
        <v>184969.79837422396</v>
      </c>
      <c r="R55" s="32"/>
    </row>
    <row r="56" spans="2:18" x14ac:dyDescent="0.45">
      <c r="B56" s="7"/>
      <c r="C56" s="19">
        <f t="shared" si="11"/>
        <v>44621</v>
      </c>
      <c r="D56" s="26">
        <f t="shared" si="4"/>
        <v>28</v>
      </c>
      <c r="E56" s="34">
        <f t="shared" si="5"/>
        <v>64062.928355167074</v>
      </c>
      <c r="F56" s="43">
        <f t="shared" si="6"/>
        <v>-7200</v>
      </c>
      <c r="G56" s="47">
        <f t="shared" si="12"/>
        <v>163.24770817779603</v>
      </c>
      <c r="H56" s="60">
        <f t="shared" si="7"/>
        <v>57026.176063344872</v>
      </c>
      <c r="J56" s="74">
        <f t="shared" si="1"/>
        <v>28</v>
      </c>
      <c r="K56" s="48">
        <f t="shared" si="8"/>
        <v>61656.59945807483</v>
      </c>
      <c r="L56" s="43">
        <f t="shared" si="13"/>
        <v>-6850.7332731194092</v>
      </c>
      <c r="M56" s="75">
        <f t="shared" si="3"/>
        <v>54805.866184955419</v>
      </c>
      <c r="N56" s="32"/>
      <c r="O56" s="76">
        <f t="shared" si="14"/>
        <v>-201600</v>
      </c>
      <c r="P56" s="39">
        <f t="shared" si="14"/>
        <v>11999.778231046144</v>
      </c>
      <c r="Q56" s="88">
        <f t="shared" si="10"/>
        <v>191820.53164734336</v>
      </c>
      <c r="R56" s="32"/>
    </row>
    <row r="57" spans="2:18" x14ac:dyDescent="0.45">
      <c r="B57" s="7"/>
      <c r="C57" s="19">
        <f t="shared" si="11"/>
        <v>44652</v>
      </c>
      <c r="D57" s="26">
        <f t="shared" si="4"/>
        <v>29</v>
      </c>
      <c r="E57" s="34">
        <f t="shared" si="5"/>
        <v>57026.176063344872</v>
      </c>
      <c r="F57" s="43">
        <f t="shared" si="6"/>
        <v>-7200</v>
      </c>
      <c r="G57" s="47">
        <f t="shared" si="12"/>
        <v>143.04590503674405</v>
      </c>
      <c r="H57" s="60">
        <f t="shared" si="7"/>
        <v>49969.221968381615</v>
      </c>
      <c r="J57" s="74">
        <f t="shared" si="1"/>
        <v>29</v>
      </c>
      <c r="K57" s="48">
        <f t="shared" si="8"/>
        <v>54805.866184955419</v>
      </c>
      <c r="L57" s="43">
        <f t="shared" si="13"/>
        <v>-6850.7332731194092</v>
      </c>
      <c r="M57" s="75">
        <f t="shared" si="3"/>
        <v>47955.132911836008</v>
      </c>
      <c r="N57" s="32"/>
      <c r="O57" s="76">
        <f t="shared" si="14"/>
        <v>-208800</v>
      </c>
      <c r="P57" s="39">
        <f t="shared" si="14"/>
        <v>12142.824136082889</v>
      </c>
      <c r="Q57" s="88">
        <f t="shared" si="10"/>
        <v>198671.26492046277</v>
      </c>
      <c r="R57" s="32"/>
    </row>
    <row r="58" spans="2:18" x14ac:dyDescent="0.45">
      <c r="B58" s="7"/>
      <c r="C58" s="19">
        <f t="shared" si="11"/>
        <v>44682</v>
      </c>
      <c r="D58" s="26">
        <f t="shared" si="4"/>
        <v>30</v>
      </c>
      <c r="E58" s="34">
        <f t="shared" si="5"/>
        <v>49969.221968381615</v>
      </c>
      <c r="F58" s="43">
        <f t="shared" si="6"/>
        <v>-7200</v>
      </c>
      <c r="G58" s="47">
        <f t="shared" si="12"/>
        <v>122.78610456493136</v>
      </c>
      <c r="H58" s="60">
        <f t="shared" si="7"/>
        <v>42892.008072946548</v>
      </c>
      <c r="J58" s="74">
        <f t="shared" si="1"/>
        <v>30</v>
      </c>
      <c r="K58" s="48">
        <f t="shared" si="8"/>
        <v>47955.132911836008</v>
      </c>
      <c r="L58" s="43">
        <f t="shared" si="13"/>
        <v>-6850.7332731194092</v>
      </c>
      <c r="M58" s="75">
        <f t="shared" si="3"/>
        <v>41104.399638716597</v>
      </c>
      <c r="N58" s="32"/>
      <c r="O58" s="76">
        <f t="shared" si="14"/>
        <v>-216000</v>
      </c>
      <c r="P58" s="39">
        <f t="shared" si="14"/>
        <v>12265.61024064782</v>
      </c>
      <c r="Q58" s="88">
        <f t="shared" si="10"/>
        <v>205521.99819358217</v>
      </c>
      <c r="R58" s="32"/>
    </row>
    <row r="59" spans="2:18" x14ac:dyDescent="0.45">
      <c r="B59" s="7"/>
      <c r="C59" s="19">
        <f t="shared" si="11"/>
        <v>44713</v>
      </c>
      <c r="D59" s="26">
        <f t="shared" si="4"/>
        <v>31</v>
      </c>
      <c r="E59" s="34">
        <f t="shared" si="5"/>
        <v>42892.008072946548</v>
      </c>
      <c r="F59" s="43">
        <f t="shared" si="6"/>
        <v>-7200</v>
      </c>
      <c r="G59" s="47">
        <f t="shared" si="12"/>
        <v>102.46814025789541</v>
      </c>
      <c r="H59" s="60">
        <f t="shared" si="7"/>
        <v>35794.476213204442</v>
      </c>
      <c r="J59" s="74">
        <f t="shared" si="1"/>
        <v>31</v>
      </c>
      <c r="K59" s="48">
        <f t="shared" si="8"/>
        <v>41104.399638716597</v>
      </c>
      <c r="L59" s="43">
        <f t="shared" si="13"/>
        <v>-6850.7332731194092</v>
      </c>
      <c r="M59" s="75">
        <f t="shared" si="3"/>
        <v>34253.666365597186</v>
      </c>
      <c r="N59" s="32"/>
      <c r="O59" s="76">
        <f t="shared" si="14"/>
        <v>-223200</v>
      </c>
      <c r="P59" s="39">
        <f t="shared" si="14"/>
        <v>12368.078380905716</v>
      </c>
      <c r="Q59" s="88">
        <f t="shared" si="10"/>
        <v>212372.73146670157</v>
      </c>
      <c r="R59" s="32"/>
    </row>
    <row r="60" spans="2:18" x14ac:dyDescent="0.45">
      <c r="B60" s="7"/>
      <c r="C60" s="19">
        <f t="shared" si="11"/>
        <v>44743</v>
      </c>
      <c r="D60" s="26">
        <f t="shared" si="4"/>
        <v>32</v>
      </c>
      <c r="E60" s="34">
        <f t="shared" si="5"/>
        <v>35794.476213204442</v>
      </c>
      <c r="F60" s="43">
        <f t="shared" si="6"/>
        <v>-7200</v>
      </c>
      <c r="G60" s="47">
        <f t="shared" si="12"/>
        <v>82.091845133156141</v>
      </c>
      <c r="H60" s="60">
        <f t="shared" si="7"/>
        <v>28676.568058337598</v>
      </c>
      <c r="J60" s="74">
        <f t="shared" si="1"/>
        <v>32</v>
      </c>
      <c r="K60" s="48">
        <f t="shared" si="8"/>
        <v>34253.666365597186</v>
      </c>
      <c r="L60" s="43">
        <f t="shared" si="13"/>
        <v>-6850.7332731194092</v>
      </c>
      <c r="M60" s="75">
        <f t="shared" si="3"/>
        <v>27402.933092477775</v>
      </c>
      <c r="N60" s="32"/>
      <c r="O60" s="76">
        <f t="shared" si="14"/>
        <v>-230400</v>
      </c>
      <c r="P60" s="39">
        <f t="shared" si="14"/>
        <v>12450.170226038872</v>
      </c>
      <c r="Q60" s="88">
        <f t="shared" si="10"/>
        <v>219223.46473982098</v>
      </c>
      <c r="R60" s="32"/>
    </row>
    <row r="61" spans="2:18" x14ac:dyDescent="0.45">
      <c r="B61" s="7"/>
      <c r="C61" s="19">
        <f t="shared" si="11"/>
        <v>44774</v>
      </c>
      <c r="D61" s="26">
        <f t="shared" si="4"/>
        <v>33</v>
      </c>
      <c r="E61" s="34">
        <f t="shared" si="5"/>
        <v>28676.568058337598</v>
      </c>
      <c r="F61" s="43">
        <f t="shared" si="6"/>
        <v>-7200</v>
      </c>
      <c r="G61" s="47">
        <f t="shared" si="12"/>
        <v>61.65705172884374</v>
      </c>
      <c r="H61" s="60">
        <f t="shared" si="7"/>
        <v>21538.225110066443</v>
      </c>
      <c r="J61" s="74">
        <f t="shared" si="1"/>
        <v>33</v>
      </c>
      <c r="K61" s="48">
        <f t="shared" si="8"/>
        <v>27402.933092477775</v>
      </c>
      <c r="L61" s="43">
        <f t="shared" si="13"/>
        <v>-6850.7332731194092</v>
      </c>
      <c r="M61" s="75">
        <f t="shared" si="3"/>
        <v>20552.199819358364</v>
      </c>
      <c r="N61" s="32"/>
      <c r="O61" s="76">
        <f t="shared" si="14"/>
        <v>-237600</v>
      </c>
      <c r="P61" s="39">
        <f t="shared" si="14"/>
        <v>12511.827277767716</v>
      </c>
      <c r="Q61" s="88">
        <f t="shared" si="10"/>
        <v>226074.19801294038</v>
      </c>
      <c r="R61" s="32"/>
    </row>
    <row r="62" spans="2:18" x14ac:dyDescent="0.45">
      <c r="B62" s="7"/>
      <c r="C62" s="19">
        <f t="shared" si="11"/>
        <v>44805</v>
      </c>
      <c r="D62" s="26">
        <f t="shared" si="4"/>
        <v>34</v>
      </c>
      <c r="E62" s="34">
        <f t="shared" si="5"/>
        <v>21538.225110066443</v>
      </c>
      <c r="F62" s="43">
        <f t="shared" si="6"/>
        <v>-7200</v>
      </c>
      <c r="G62" s="47">
        <f t="shared" si="12"/>
        <v>41.163592102322298</v>
      </c>
      <c r="H62" s="60">
        <f t="shared" si="7"/>
        <v>14379.388702168766</v>
      </c>
      <c r="J62" s="74">
        <f t="shared" si="1"/>
        <v>34</v>
      </c>
      <c r="K62" s="48">
        <f t="shared" si="8"/>
        <v>20552.199819358364</v>
      </c>
      <c r="L62" s="43">
        <f t="shared" si="13"/>
        <v>-6850.7332731194092</v>
      </c>
      <c r="M62" s="75">
        <f t="shared" si="3"/>
        <v>13701.466546238955</v>
      </c>
      <c r="N62" s="32"/>
      <c r="O62" s="76">
        <f t="shared" ref="O62:P64" si="15">+O61+F62</f>
        <v>-244800</v>
      </c>
      <c r="P62" s="39">
        <f t="shared" si="15"/>
        <v>12552.990869870038</v>
      </c>
      <c r="Q62" s="88">
        <f t="shared" si="10"/>
        <v>232924.93128605979</v>
      </c>
      <c r="R62" s="32"/>
    </row>
    <row r="63" spans="2:18" x14ac:dyDescent="0.45">
      <c r="B63" s="7"/>
      <c r="C63" s="19">
        <f t="shared" si="11"/>
        <v>44835</v>
      </c>
      <c r="D63" s="26">
        <f t="shared" si="4"/>
        <v>35</v>
      </c>
      <c r="E63" s="34">
        <f t="shared" si="5"/>
        <v>14379.388702168766</v>
      </c>
      <c r="F63" s="43">
        <f t="shared" si="6"/>
        <v>-7200</v>
      </c>
      <c r="G63" s="47">
        <f t="shared" si="12"/>
        <v>20.611297828809626</v>
      </c>
      <c r="H63" s="60">
        <f t="shared" si="7"/>
        <v>7199.9999999975753</v>
      </c>
      <c r="J63" s="74">
        <f t="shared" si="1"/>
        <v>35</v>
      </c>
      <c r="K63" s="48">
        <f t="shared" si="8"/>
        <v>13701.466546238955</v>
      </c>
      <c r="L63" s="43">
        <f t="shared" si="13"/>
        <v>-6850.7332731194092</v>
      </c>
      <c r="M63" s="75">
        <f t="shared" si="3"/>
        <v>6850.7332731195456</v>
      </c>
      <c r="N63" s="32"/>
      <c r="O63" s="76">
        <f t="shared" si="15"/>
        <v>-252000</v>
      </c>
      <c r="P63" s="39">
        <f t="shared" si="15"/>
        <v>12573.602167698848</v>
      </c>
      <c r="Q63" s="88">
        <f t="shared" si="10"/>
        <v>239775.66455917919</v>
      </c>
      <c r="R63" s="32"/>
    </row>
    <row r="64" spans="2:18" x14ac:dyDescent="0.45">
      <c r="B64" s="7"/>
      <c r="C64" s="19">
        <f t="shared" si="11"/>
        <v>44866</v>
      </c>
      <c r="D64" s="26">
        <f t="shared" si="4"/>
        <v>36</v>
      </c>
      <c r="E64" s="34">
        <f t="shared" si="5"/>
        <v>7199.9999999975753</v>
      </c>
      <c r="F64" s="43">
        <f t="shared" si="6"/>
        <v>-7200</v>
      </c>
      <c r="G64" s="47">
        <f t="shared" si="12"/>
        <v>-6.961105086755495E-12</v>
      </c>
      <c r="H64" s="60">
        <f t="shared" si="7"/>
        <v>-2.4316739800133822E-9</v>
      </c>
      <c r="J64" s="74">
        <f t="shared" si="1"/>
        <v>36</v>
      </c>
      <c r="K64" s="48">
        <f t="shared" si="8"/>
        <v>6850.7332731195456</v>
      </c>
      <c r="L64" s="43">
        <f t="shared" si="13"/>
        <v>-6850.7332731194092</v>
      </c>
      <c r="M64" s="75">
        <f t="shared" si="3"/>
        <v>1.3642420526593924E-10</v>
      </c>
      <c r="N64" s="32"/>
      <c r="O64" s="76">
        <f t="shared" si="15"/>
        <v>-259200</v>
      </c>
      <c r="P64" s="39">
        <f t="shared" si="15"/>
        <v>12573.60216769884</v>
      </c>
      <c r="Q64" s="88">
        <f t="shared" si="10"/>
        <v>246626.39783229859</v>
      </c>
      <c r="R64" s="32"/>
    </row>
    <row r="65" spans="2:18" x14ac:dyDescent="0.45">
      <c r="B65" s="7"/>
      <c r="C65" s="19">
        <f t="shared" si="11"/>
        <v>44896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44927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44958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44986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45017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45047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45078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45108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45139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45170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45200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45231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45261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45292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45323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45352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45383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45413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45444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45474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45505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45536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45566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45597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45627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45658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45689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45717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45748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45778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6">DATE(YEAR(C94),MONTH(C94)+1,DAY(C94))</f>
        <v>45809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6"/>
        <v>45839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6"/>
        <v>45870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6"/>
        <v>45901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6"/>
        <v>45931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6"/>
        <v>45962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6"/>
        <v>45992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6"/>
        <v>46023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6"/>
        <v>46054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6"/>
        <v>46082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6"/>
        <v>46113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6"/>
        <v>46143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6"/>
        <v>46174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-2.4156179279088974E-9</v>
      </c>
      <c r="F110" s="43">
        <f>SUM(F29:F107)</f>
        <v>-259200</v>
      </c>
      <c r="G110" s="43">
        <f>SUM(G29:G107)</f>
        <v>12573.60216769884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157566.86528174649</v>
      </c>
      <c r="G116" s="119">
        <f>INDEX(M:M,MATCH(DATE(2021,12,DAY(D10)),C:C))</f>
        <v>75358.066004313645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-82412.298705147216</v>
      </c>
      <c r="G119" s="113">
        <f ca="1">IFERROR(SUM(INDIRECT("F"&amp;MATCH(DATE(2022,1,DAY(D10)),C:C)):INDIRECT("G"&amp;MATCH(DATE(2022,1,DAY(D10)),C:C)+11)),VALUE("0"))</f>
        <v>-78076.058689050027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-78076.058689050027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-79200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F98EE-8BF4-45CC-B1D2-FC50C27D4EAA}">
  <dimension ref="B1:R130"/>
  <sheetViews>
    <sheetView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101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6350.7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43831</v>
      </c>
      <c r="E10" s="12">
        <f>VLOOKUP($C$2,'Lease Summary'!D:H,4,FALSE)</f>
        <v>44926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Option stated but with no amount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13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6350.7</v>
      </c>
      <c r="G22" s="7" t="s">
        <v>229</v>
      </c>
      <c r="H22" s="53">
        <f>-PV(F16,F12,F22,0,1)</f>
        <v>217534.75898799716</v>
      </c>
      <c r="J22" s="17" t="s">
        <v>234</v>
      </c>
      <c r="K22" s="22"/>
      <c r="L22" s="7"/>
      <c r="M22" s="65">
        <f>H22</f>
        <v>217534.75898799716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43831</v>
      </c>
      <c r="D29" s="27">
        <v>1</v>
      </c>
      <c r="E29" s="33">
        <f>H22</f>
        <v>217534.75898799716</v>
      </c>
      <c r="F29" s="42">
        <f>-D7</f>
        <v>-6350.7</v>
      </c>
      <c r="G29" s="46">
        <f t="shared" ref="G29:G40" si="0">((E29+F29)*($F$16))</f>
        <v>606.28804443804711</v>
      </c>
      <c r="H29" s="59">
        <f>SUM(E29:G29)</f>
        <v>211790.34703243521</v>
      </c>
      <c r="J29" s="69">
        <f t="shared" ref="J29:J64" si="1">D29</f>
        <v>1</v>
      </c>
      <c r="K29" s="70">
        <f>M22</f>
        <v>217534.75898799716</v>
      </c>
      <c r="L29" s="42">
        <f t="shared" ref="L29:L40" si="2">-$M$22/$F$12</f>
        <v>-6042.6321941110327</v>
      </c>
      <c r="M29" s="71">
        <f t="shared" ref="M29:M64" si="3">K29+L29</f>
        <v>211492.12679388613</v>
      </c>
      <c r="N29" s="32"/>
      <c r="O29" s="72">
        <f>+F29</f>
        <v>-6350.7</v>
      </c>
      <c r="P29" s="73">
        <f>+G29</f>
        <v>606.28804443804711</v>
      </c>
      <c r="Q29" s="71">
        <f>-L29</f>
        <v>6042.6321941110327</v>
      </c>
      <c r="R29" s="85"/>
    </row>
    <row r="30" spans="2:18" x14ac:dyDescent="0.45">
      <c r="B30" s="7"/>
      <c r="C30" s="19">
        <f>DATE(YEAR(C29),MONTH(C29)+1,DAY(C29))</f>
        <v>43862</v>
      </c>
      <c r="D30" s="26">
        <f t="shared" ref="D30:D64" si="4">D29+1</f>
        <v>2</v>
      </c>
      <c r="E30" s="34">
        <f t="shared" ref="E30:E64" si="5">H29</f>
        <v>211790.34703243521</v>
      </c>
      <c r="F30" s="43">
        <f t="shared" ref="F30:F64" si="6">F29</f>
        <v>-6350.7</v>
      </c>
      <c r="G30" s="47">
        <f t="shared" si="0"/>
        <v>589.79641951297572</v>
      </c>
      <c r="H30" s="60">
        <f t="shared" ref="H30:H64" si="7">SUM(E30:G30)</f>
        <v>206029.44345194817</v>
      </c>
      <c r="J30" s="74">
        <f t="shared" si="1"/>
        <v>2</v>
      </c>
      <c r="K30" s="48">
        <f t="shared" ref="K30:K64" si="8">M29</f>
        <v>211492.12679388613</v>
      </c>
      <c r="L30" s="43">
        <f t="shared" si="2"/>
        <v>-6042.6321941110327</v>
      </c>
      <c r="M30" s="75">
        <f t="shared" si="3"/>
        <v>205449.49459977509</v>
      </c>
      <c r="N30" s="32"/>
      <c r="O30" s="76">
        <f t="shared" ref="O30:P45" si="9">+O29+F30</f>
        <v>-12701.4</v>
      </c>
      <c r="P30" s="77">
        <f t="shared" si="9"/>
        <v>1196.0844639510228</v>
      </c>
      <c r="Q30" s="75">
        <f t="shared" ref="Q30:Q64" si="10">+Q29-L30</f>
        <v>12085.264388222065</v>
      </c>
      <c r="R30" s="86"/>
    </row>
    <row r="31" spans="2:18" x14ac:dyDescent="0.45">
      <c r="B31" s="7"/>
      <c r="C31" s="19">
        <f t="shared" ref="C31:C94" si="11">DATE(YEAR(C30),MONTH(C30)+1,DAY(C30))</f>
        <v>43891</v>
      </c>
      <c r="D31" s="26">
        <f t="shared" si="4"/>
        <v>3</v>
      </c>
      <c r="E31" s="34">
        <f t="shared" si="5"/>
        <v>206029.44345194817</v>
      </c>
      <c r="F31" s="43">
        <f t="shared" si="6"/>
        <v>-6350.7</v>
      </c>
      <c r="G31" s="47">
        <f t="shared" si="0"/>
        <v>573.25744880303148</v>
      </c>
      <c r="H31" s="60">
        <f t="shared" si="7"/>
        <v>200252.00090075118</v>
      </c>
      <c r="J31" s="74">
        <f t="shared" si="1"/>
        <v>3</v>
      </c>
      <c r="K31" s="48">
        <f t="shared" si="8"/>
        <v>205449.49459977509</v>
      </c>
      <c r="L31" s="43">
        <f t="shared" si="2"/>
        <v>-6042.6321941110327</v>
      </c>
      <c r="M31" s="75">
        <f t="shared" si="3"/>
        <v>199406.86240566405</v>
      </c>
      <c r="N31" s="32"/>
      <c r="O31" s="76">
        <f t="shared" si="9"/>
        <v>-19052.099999999999</v>
      </c>
      <c r="P31" s="39">
        <f t="shared" si="9"/>
        <v>1769.3419127540542</v>
      </c>
      <c r="Q31" s="88">
        <f t="shared" si="10"/>
        <v>18127.896582333098</v>
      </c>
      <c r="R31" s="86"/>
    </row>
    <row r="32" spans="2:18" x14ac:dyDescent="0.45">
      <c r="B32" s="7"/>
      <c r="C32" s="19">
        <f t="shared" si="11"/>
        <v>43922</v>
      </c>
      <c r="D32" s="26">
        <f t="shared" si="4"/>
        <v>4</v>
      </c>
      <c r="E32" s="34">
        <f t="shared" si="5"/>
        <v>200252.00090075118</v>
      </c>
      <c r="F32" s="43">
        <f t="shared" si="6"/>
        <v>-6350.7</v>
      </c>
      <c r="G32" s="47">
        <f t="shared" si="0"/>
        <v>556.67099638326113</v>
      </c>
      <c r="H32" s="60">
        <f t="shared" si="7"/>
        <v>194457.97189713444</v>
      </c>
      <c r="J32" s="74">
        <f t="shared" si="1"/>
        <v>4</v>
      </c>
      <c r="K32" s="48">
        <f t="shared" si="8"/>
        <v>199406.86240566405</v>
      </c>
      <c r="L32" s="43">
        <f t="shared" si="2"/>
        <v>-6042.6321941110327</v>
      </c>
      <c r="M32" s="75">
        <f t="shared" si="3"/>
        <v>193364.23021155302</v>
      </c>
      <c r="N32" s="32"/>
      <c r="O32" s="76">
        <f t="shared" si="9"/>
        <v>-25402.799999999999</v>
      </c>
      <c r="P32" s="39">
        <f t="shared" si="9"/>
        <v>2326.0129091373155</v>
      </c>
      <c r="Q32" s="88">
        <f t="shared" si="10"/>
        <v>24170.528776444131</v>
      </c>
      <c r="R32" s="86"/>
    </row>
    <row r="33" spans="2:18" x14ac:dyDescent="0.45">
      <c r="B33" s="7"/>
      <c r="C33" s="19">
        <f t="shared" si="11"/>
        <v>43952</v>
      </c>
      <c r="D33" s="26">
        <f t="shared" si="4"/>
        <v>5</v>
      </c>
      <c r="E33" s="34">
        <f t="shared" si="5"/>
        <v>194457.97189713444</v>
      </c>
      <c r="F33" s="43">
        <f t="shared" si="6"/>
        <v>-6350.7</v>
      </c>
      <c r="G33" s="47">
        <f t="shared" si="0"/>
        <v>540.03692593848484</v>
      </c>
      <c r="H33" s="60">
        <f t="shared" si="7"/>
        <v>188647.3088230729</v>
      </c>
      <c r="J33" s="74">
        <f t="shared" si="1"/>
        <v>5</v>
      </c>
      <c r="K33" s="48">
        <f t="shared" si="8"/>
        <v>193364.23021155302</v>
      </c>
      <c r="L33" s="43">
        <f t="shared" si="2"/>
        <v>-6042.6321941110327</v>
      </c>
      <c r="M33" s="75">
        <f t="shared" si="3"/>
        <v>187321.59801744198</v>
      </c>
      <c r="N33" s="32"/>
      <c r="O33" s="76">
        <f t="shared" si="9"/>
        <v>-31753.5</v>
      </c>
      <c r="P33" s="39">
        <f t="shared" si="9"/>
        <v>2866.0498350758003</v>
      </c>
      <c r="Q33" s="88">
        <f t="shared" si="10"/>
        <v>30213.160970555164</v>
      </c>
      <c r="R33" s="86"/>
    </row>
    <row r="34" spans="2:18" x14ac:dyDescent="0.45">
      <c r="B34" s="7"/>
      <c r="C34" s="19">
        <f t="shared" si="11"/>
        <v>43983</v>
      </c>
      <c r="D34" s="26">
        <f t="shared" si="4"/>
        <v>6</v>
      </c>
      <c r="E34" s="34">
        <f t="shared" si="5"/>
        <v>188647.3088230729</v>
      </c>
      <c r="F34" s="43">
        <f t="shared" si="6"/>
        <v>-6350.7</v>
      </c>
      <c r="G34" s="47">
        <f t="shared" si="0"/>
        <v>523.35510076217565</v>
      </c>
      <c r="H34" s="60">
        <f t="shared" si="7"/>
        <v>182819.96392383508</v>
      </c>
      <c r="J34" s="74">
        <f t="shared" si="1"/>
        <v>6</v>
      </c>
      <c r="K34" s="48">
        <f t="shared" si="8"/>
        <v>187321.59801744198</v>
      </c>
      <c r="L34" s="43">
        <f t="shared" si="2"/>
        <v>-6042.6321941110327</v>
      </c>
      <c r="M34" s="75">
        <f t="shared" si="3"/>
        <v>181278.96582333095</v>
      </c>
      <c r="N34" s="32"/>
      <c r="O34" s="76">
        <f t="shared" si="9"/>
        <v>-38104.199999999997</v>
      </c>
      <c r="P34" s="39">
        <f t="shared" si="9"/>
        <v>3389.4049358379762</v>
      </c>
      <c r="Q34" s="88">
        <f t="shared" si="10"/>
        <v>36255.793164666196</v>
      </c>
      <c r="R34" s="86"/>
    </row>
    <row r="35" spans="2:18" x14ac:dyDescent="0.45">
      <c r="B35" s="7"/>
      <c r="C35" s="19">
        <f t="shared" si="11"/>
        <v>44013</v>
      </c>
      <c r="D35" s="26">
        <f t="shared" si="4"/>
        <v>7</v>
      </c>
      <c r="E35" s="34">
        <f t="shared" si="5"/>
        <v>182819.96392383508</v>
      </c>
      <c r="F35" s="43">
        <f t="shared" si="6"/>
        <v>-6350.7</v>
      </c>
      <c r="G35" s="47">
        <f t="shared" si="0"/>
        <v>506.62538375533597</v>
      </c>
      <c r="H35" s="60">
        <f t="shared" si="7"/>
        <v>176975.88930759041</v>
      </c>
      <c r="J35" s="74">
        <f t="shared" si="1"/>
        <v>7</v>
      </c>
      <c r="K35" s="48">
        <f t="shared" si="8"/>
        <v>181278.96582333095</v>
      </c>
      <c r="L35" s="43">
        <f t="shared" si="2"/>
        <v>-6042.6321941110327</v>
      </c>
      <c r="M35" s="75">
        <f t="shared" si="3"/>
        <v>175236.33362921991</v>
      </c>
      <c r="N35" s="32"/>
      <c r="O35" s="76">
        <f t="shared" si="9"/>
        <v>-44454.899999999994</v>
      </c>
      <c r="P35" s="39">
        <f t="shared" si="9"/>
        <v>3896.030319593312</v>
      </c>
      <c r="Q35" s="88">
        <f t="shared" si="10"/>
        <v>42298.425358777225</v>
      </c>
      <c r="R35" s="86"/>
    </row>
    <row r="36" spans="2:18" x14ac:dyDescent="0.45">
      <c r="B36" s="7"/>
      <c r="C36" s="19">
        <f t="shared" si="11"/>
        <v>44044</v>
      </c>
      <c r="D36" s="26">
        <f t="shared" si="4"/>
        <v>8</v>
      </c>
      <c r="E36" s="34">
        <f t="shared" si="5"/>
        <v>176975.88930759041</v>
      </c>
      <c r="F36" s="43">
        <f t="shared" si="6"/>
        <v>-6350.7</v>
      </c>
      <c r="G36" s="47">
        <f t="shared" si="0"/>
        <v>489.84763742537086</v>
      </c>
      <c r="H36" s="60">
        <f t="shared" si="7"/>
        <v>171115.03694501577</v>
      </c>
      <c r="J36" s="74">
        <f t="shared" si="1"/>
        <v>8</v>
      </c>
      <c r="K36" s="48">
        <f t="shared" si="8"/>
        <v>175236.33362921991</v>
      </c>
      <c r="L36" s="43">
        <f t="shared" si="2"/>
        <v>-6042.6321941110327</v>
      </c>
      <c r="M36" s="75">
        <f t="shared" si="3"/>
        <v>169193.70143510887</v>
      </c>
      <c r="N36" s="32"/>
      <c r="O36" s="76">
        <f t="shared" si="9"/>
        <v>-50805.599999999991</v>
      </c>
      <c r="P36" s="39">
        <f t="shared" si="9"/>
        <v>4385.8779570186825</v>
      </c>
      <c r="Q36" s="88">
        <f t="shared" si="10"/>
        <v>48341.057552888262</v>
      </c>
      <c r="R36" s="86"/>
    </row>
    <row r="37" spans="2:18" x14ac:dyDescent="0.45">
      <c r="B37" s="7"/>
      <c r="C37" s="19">
        <f t="shared" si="11"/>
        <v>44075</v>
      </c>
      <c r="D37" s="26">
        <f t="shared" si="4"/>
        <v>9</v>
      </c>
      <c r="E37" s="34">
        <f t="shared" si="5"/>
        <v>171115.03694501577</v>
      </c>
      <c r="F37" s="43">
        <f t="shared" si="6"/>
        <v>-6350.7</v>
      </c>
      <c r="G37" s="47">
        <f t="shared" si="0"/>
        <v>473.02172388495802</v>
      </c>
      <c r="H37" s="60">
        <f t="shared" si="7"/>
        <v>165237.35866890071</v>
      </c>
      <c r="J37" s="74">
        <f t="shared" si="1"/>
        <v>9</v>
      </c>
      <c r="K37" s="48">
        <f t="shared" si="8"/>
        <v>169193.70143510887</v>
      </c>
      <c r="L37" s="43">
        <f t="shared" si="2"/>
        <v>-6042.6321941110327</v>
      </c>
      <c r="M37" s="75">
        <f t="shared" si="3"/>
        <v>163151.06924099784</v>
      </c>
      <c r="N37" s="32"/>
      <c r="O37" s="76">
        <f t="shared" si="9"/>
        <v>-57156.299999999988</v>
      </c>
      <c r="P37" s="39">
        <f t="shared" si="9"/>
        <v>4858.8996809036407</v>
      </c>
      <c r="Q37" s="88">
        <f t="shared" si="10"/>
        <v>54383.689746999298</v>
      </c>
      <c r="R37" s="86"/>
    </row>
    <row r="38" spans="2:18" x14ac:dyDescent="0.45">
      <c r="B38" s="7"/>
      <c r="C38" s="19">
        <f t="shared" si="11"/>
        <v>44105</v>
      </c>
      <c r="D38" s="26">
        <f t="shared" si="4"/>
        <v>10</v>
      </c>
      <c r="E38" s="34">
        <f t="shared" si="5"/>
        <v>165237.35866890071</v>
      </c>
      <c r="F38" s="43">
        <f t="shared" si="6"/>
        <v>-6350.7</v>
      </c>
      <c r="G38" s="47">
        <f t="shared" si="0"/>
        <v>456.14750485091469</v>
      </c>
      <c r="H38" s="60">
        <f t="shared" si="7"/>
        <v>159342.8061737516</v>
      </c>
      <c r="J38" s="74">
        <f t="shared" si="1"/>
        <v>10</v>
      </c>
      <c r="K38" s="48">
        <f t="shared" si="8"/>
        <v>163151.06924099784</v>
      </c>
      <c r="L38" s="43">
        <f t="shared" si="2"/>
        <v>-6042.6321941110327</v>
      </c>
      <c r="M38" s="75">
        <f t="shared" si="3"/>
        <v>157108.4370468868</v>
      </c>
      <c r="N38" s="32"/>
      <c r="O38" s="76">
        <f t="shared" si="9"/>
        <v>-63506.999999999985</v>
      </c>
      <c r="P38" s="39">
        <f t="shared" si="9"/>
        <v>5315.0471857545554</v>
      </c>
      <c r="Q38" s="88">
        <f t="shared" si="10"/>
        <v>60426.321941110335</v>
      </c>
      <c r="R38" s="87"/>
    </row>
    <row r="39" spans="2:18" x14ac:dyDescent="0.45">
      <c r="B39" s="7"/>
      <c r="C39" s="19">
        <f t="shared" si="11"/>
        <v>44136</v>
      </c>
      <c r="D39" s="26">
        <f t="shared" si="4"/>
        <v>11</v>
      </c>
      <c r="E39" s="34">
        <f t="shared" si="5"/>
        <v>159342.8061737516</v>
      </c>
      <c r="F39" s="43">
        <f t="shared" si="6"/>
        <v>-6350.7</v>
      </c>
      <c r="G39" s="47">
        <f t="shared" si="0"/>
        <v>439.22484164306104</v>
      </c>
      <c r="H39" s="60">
        <f t="shared" si="7"/>
        <v>153431.33101539465</v>
      </c>
      <c r="J39" s="74">
        <f t="shared" si="1"/>
        <v>11</v>
      </c>
      <c r="K39" s="48">
        <f t="shared" si="8"/>
        <v>157108.4370468868</v>
      </c>
      <c r="L39" s="43">
        <f t="shared" si="2"/>
        <v>-6042.6321941110327</v>
      </c>
      <c r="M39" s="75">
        <f t="shared" si="3"/>
        <v>151065.80485277576</v>
      </c>
      <c r="N39" s="32"/>
      <c r="O39" s="76">
        <f t="shared" si="9"/>
        <v>-69857.699999999983</v>
      </c>
      <c r="P39" s="39">
        <f t="shared" si="9"/>
        <v>5754.2720273976165</v>
      </c>
      <c r="Q39" s="88">
        <f t="shared" si="10"/>
        <v>66468.954135221371</v>
      </c>
      <c r="R39" s="87"/>
    </row>
    <row r="40" spans="2:18" x14ac:dyDescent="0.45">
      <c r="B40" s="7"/>
      <c r="C40" s="19">
        <f t="shared" si="11"/>
        <v>44166</v>
      </c>
      <c r="D40" s="26">
        <f t="shared" si="4"/>
        <v>12</v>
      </c>
      <c r="E40" s="34">
        <f t="shared" si="5"/>
        <v>153431.33101539465</v>
      </c>
      <c r="F40" s="43">
        <f t="shared" si="6"/>
        <v>-6350.7</v>
      </c>
      <c r="G40" s="47">
        <f t="shared" si="0"/>
        <v>422.25359518308073</v>
      </c>
      <c r="H40" s="60">
        <f t="shared" si="7"/>
        <v>147502.88461057772</v>
      </c>
      <c r="J40" s="74">
        <f t="shared" si="1"/>
        <v>12</v>
      </c>
      <c r="K40" s="48">
        <f t="shared" si="8"/>
        <v>151065.80485277576</v>
      </c>
      <c r="L40" s="43">
        <f t="shared" si="2"/>
        <v>-6042.6321941110327</v>
      </c>
      <c r="M40" s="75">
        <f t="shared" si="3"/>
        <v>145023.17265866473</v>
      </c>
      <c r="N40" s="32"/>
      <c r="O40" s="76">
        <f t="shared" si="9"/>
        <v>-76208.39999999998</v>
      </c>
      <c r="P40" s="39">
        <f t="shared" si="9"/>
        <v>6176.525622580697</v>
      </c>
      <c r="Q40" s="88">
        <f t="shared" si="10"/>
        <v>72511.586329332407</v>
      </c>
      <c r="R40" s="87"/>
    </row>
    <row r="41" spans="2:18" x14ac:dyDescent="0.45">
      <c r="B41" s="7"/>
      <c r="C41" s="19">
        <f t="shared" si="11"/>
        <v>44197</v>
      </c>
      <c r="D41" s="26">
        <f t="shared" si="4"/>
        <v>13</v>
      </c>
      <c r="E41" s="34">
        <f t="shared" si="5"/>
        <v>147502.88461057772</v>
      </c>
      <c r="F41" s="43">
        <f t="shared" si="6"/>
        <v>-6350.7</v>
      </c>
      <c r="G41" s="47">
        <f t="shared" ref="G41:G64" si="12">((E41+F41)*($F$16))</f>
        <v>405.23362599337725</v>
      </c>
      <c r="H41" s="60">
        <f t="shared" si="7"/>
        <v>141557.41823657107</v>
      </c>
      <c r="J41" s="74">
        <f t="shared" si="1"/>
        <v>13</v>
      </c>
      <c r="K41" s="48">
        <f t="shared" si="8"/>
        <v>145023.17265866473</v>
      </c>
      <c r="L41" s="43">
        <f t="shared" ref="L41:L64" si="13">-$M$22/$F$12</f>
        <v>-6042.6321941110327</v>
      </c>
      <c r="M41" s="75">
        <f t="shared" si="3"/>
        <v>138980.54046455369</v>
      </c>
      <c r="N41" s="32"/>
      <c r="O41" s="76">
        <f t="shared" si="9"/>
        <v>-82559.099999999977</v>
      </c>
      <c r="P41" s="39">
        <f t="shared" si="9"/>
        <v>6581.7592485740743</v>
      </c>
      <c r="Q41" s="88">
        <f t="shared" si="10"/>
        <v>78554.218523443444</v>
      </c>
      <c r="R41" s="87"/>
    </row>
    <row r="42" spans="2:18" x14ac:dyDescent="0.45">
      <c r="B42" s="7"/>
      <c r="C42" s="19">
        <f t="shared" si="11"/>
        <v>44228</v>
      </c>
      <c r="D42" s="26">
        <f t="shared" si="4"/>
        <v>14</v>
      </c>
      <c r="E42" s="34">
        <f t="shared" si="5"/>
        <v>141557.41823657107</v>
      </c>
      <c r="F42" s="43">
        <f t="shared" si="6"/>
        <v>-6350.7</v>
      </c>
      <c r="G42" s="47">
        <f t="shared" si="12"/>
        <v>388.16479419592832</v>
      </c>
      <c r="H42" s="60">
        <f t="shared" si="7"/>
        <v>135594.883030767</v>
      </c>
      <c r="J42" s="74">
        <f t="shared" si="1"/>
        <v>14</v>
      </c>
      <c r="K42" s="48">
        <f t="shared" si="8"/>
        <v>138980.54046455369</v>
      </c>
      <c r="L42" s="43">
        <f t="shared" si="13"/>
        <v>-6042.6321941110327</v>
      </c>
      <c r="M42" s="75">
        <f t="shared" si="3"/>
        <v>132937.90827044265</v>
      </c>
      <c r="N42" s="32"/>
      <c r="O42" s="76">
        <f t="shared" si="9"/>
        <v>-88909.799999999974</v>
      </c>
      <c r="P42" s="39">
        <f t="shared" si="9"/>
        <v>6969.9240427700024</v>
      </c>
      <c r="Q42" s="88">
        <f t="shared" si="10"/>
        <v>84596.85071755448</v>
      </c>
      <c r="R42" s="87"/>
    </row>
    <row r="43" spans="2:18" x14ac:dyDescent="0.45">
      <c r="B43" s="7"/>
      <c r="C43" s="19">
        <f t="shared" si="11"/>
        <v>44256</v>
      </c>
      <c r="D43" s="26">
        <f t="shared" si="4"/>
        <v>15</v>
      </c>
      <c r="E43" s="34">
        <f t="shared" si="5"/>
        <v>135594.883030767</v>
      </c>
      <c r="F43" s="43">
        <f t="shared" si="6"/>
        <v>-6350.7</v>
      </c>
      <c r="G43" s="47">
        <f t="shared" si="12"/>
        <v>371.04695951113609</v>
      </c>
      <c r="H43" s="60">
        <f t="shared" si="7"/>
        <v>129615.22999027814</v>
      </c>
      <c r="J43" s="74">
        <f t="shared" si="1"/>
        <v>15</v>
      </c>
      <c r="K43" s="48">
        <f t="shared" si="8"/>
        <v>132937.90827044265</v>
      </c>
      <c r="L43" s="43">
        <f t="shared" si="13"/>
        <v>-6042.6321941110327</v>
      </c>
      <c r="M43" s="75">
        <f t="shared" si="3"/>
        <v>126895.27607633162</v>
      </c>
      <c r="N43" s="32"/>
      <c r="O43" s="76">
        <f t="shared" si="9"/>
        <v>-95260.499999999971</v>
      </c>
      <c r="P43" s="39">
        <f t="shared" si="9"/>
        <v>7340.9710022811387</v>
      </c>
      <c r="Q43" s="88">
        <f t="shared" si="10"/>
        <v>90639.482911665516</v>
      </c>
      <c r="R43" s="87"/>
    </row>
    <row r="44" spans="2:18" x14ac:dyDescent="0.45">
      <c r="B44" s="7"/>
      <c r="C44" s="19">
        <f t="shared" si="11"/>
        <v>44287</v>
      </c>
      <c r="D44" s="26">
        <f t="shared" si="4"/>
        <v>16</v>
      </c>
      <c r="E44" s="34">
        <f t="shared" si="5"/>
        <v>129615.22999027814</v>
      </c>
      <c r="F44" s="43">
        <f t="shared" si="6"/>
        <v>-6350.7</v>
      </c>
      <c r="G44" s="47">
        <f t="shared" si="12"/>
        <v>353.87998125667389</v>
      </c>
      <c r="H44" s="60">
        <f t="shared" si="7"/>
        <v>123618.40997153481</v>
      </c>
      <c r="J44" s="74">
        <f t="shared" si="1"/>
        <v>16</v>
      </c>
      <c r="K44" s="48">
        <f t="shared" si="8"/>
        <v>126895.27607633162</v>
      </c>
      <c r="L44" s="43">
        <f t="shared" si="13"/>
        <v>-6042.6321941110327</v>
      </c>
      <c r="M44" s="75">
        <f t="shared" si="3"/>
        <v>120852.64388222058</v>
      </c>
      <c r="N44" s="32"/>
      <c r="O44" s="76">
        <f t="shared" si="9"/>
        <v>-101611.19999999997</v>
      </c>
      <c r="P44" s="39">
        <f t="shared" si="9"/>
        <v>7694.8509835378127</v>
      </c>
      <c r="Q44" s="88">
        <f t="shared" si="10"/>
        <v>96682.115105776553</v>
      </c>
      <c r="R44" s="87"/>
    </row>
    <row r="45" spans="2:18" x14ac:dyDescent="0.45">
      <c r="B45" s="7"/>
      <c r="C45" s="19">
        <f t="shared" si="11"/>
        <v>44317</v>
      </c>
      <c r="D45" s="26">
        <f t="shared" si="4"/>
        <v>17</v>
      </c>
      <c r="E45" s="34">
        <f t="shared" si="5"/>
        <v>123618.40997153481</v>
      </c>
      <c r="F45" s="43">
        <f t="shared" si="6"/>
        <v>-6350.7</v>
      </c>
      <c r="G45" s="47">
        <f t="shared" si="12"/>
        <v>336.66371834633048</v>
      </c>
      <c r="H45" s="60">
        <f t="shared" si="7"/>
        <v>117604.37368988115</v>
      </c>
      <c r="J45" s="74">
        <f t="shared" si="1"/>
        <v>17</v>
      </c>
      <c r="K45" s="48">
        <f t="shared" si="8"/>
        <v>120852.64388222058</v>
      </c>
      <c r="L45" s="43">
        <f t="shared" si="13"/>
        <v>-6042.6321941110327</v>
      </c>
      <c r="M45" s="75">
        <f t="shared" si="3"/>
        <v>114810.01168810955</v>
      </c>
      <c r="N45" s="32"/>
      <c r="O45" s="76">
        <f t="shared" si="9"/>
        <v>-107961.89999999997</v>
      </c>
      <c r="P45" s="39">
        <f t="shared" si="9"/>
        <v>8031.5147018841435</v>
      </c>
      <c r="Q45" s="88">
        <f t="shared" si="10"/>
        <v>102724.74729988759</v>
      </c>
      <c r="R45" s="87"/>
    </row>
    <row r="46" spans="2:18" x14ac:dyDescent="0.45">
      <c r="B46" s="7"/>
      <c r="C46" s="19">
        <f t="shared" si="11"/>
        <v>44348</v>
      </c>
      <c r="D46" s="26">
        <f t="shared" si="4"/>
        <v>18</v>
      </c>
      <c r="E46" s="34">
        <f t="shared" si="5"/>
        <v>117604.37368988115</v>
      </c>
      <c r="F46" s="43">
        <f t="shared" si="6"/>
        <v>-6350.7</v>
      </c>
      <c r="G46" s="47">
        <f t="shared" si="12"/>
        <v>319.39802928885052</v>
      </c>
      <c r="H46" s="60">
        <f t="shared" si="7"/>
        <v>111573.07171917</v>
      </c>
      <c r="J46" s="74">
        <f t="shared" si="1"/>
        <v>18</v>
      </c>
      <c r="K46" s="48">
        <f t="shared" si="8"/>
        <v>114810.01168810955</v>
      </c>
      <c r="L46" s="43">
        <f t="shared" si="13"/>
        <v>-6042.6321941110327</v>
      </c>
      <c r="M46" s="75">
        <f t="shared" si="3"/>
        <v>108767.37949399851</v>
      </c>
      <c r="N46" s="32"/>
      <c r="O46" s="76">
        <f t="shared" ref="O46:P61" si="14">+O45+F46</f>
        <v>-114312.59999999996</v>
      </c>
      <c r="P46" s="39">
        <f t="shared" si="14"/>
        <v>8350.9127311729935</v>
      </c>
      <c r="Q46" s="88">
        <f t="shared" si="10"/>
        <v>108767.37949399863</v>
      </c>
      <c r="R46" s="87"/>
    </row>
    <row r="47" spans="2:18" x14ac:dyDescent="0.45">
      <c r="B47" s="7"/>
      <c r="C47" s="19">
        <f t="shared" si="11"/>
        <v>44378</v>
      </c>
      <c r="D47" s="26">
        <f t="shared" si="4"/>
        <v>19</v>
      </c>
      <c r="E47" s="34">
        <f t="shared" si="5"/>
        <v>111573.07171917</v>
      </c>
      <c r="F47" s="43">
        <f t="shared" si="6"/>
        <v>-6350.7</v>
      </c>
      <c r="G47" s="47">
        <f t="shared" si="12"/>
        <v>302.08277218677142</v>
      </c>
      <c r="H47" s="60">
        <f t="shared" si="7"/>
        <v>105524.45449135677</v>
      </c>
      <c r="J47" s="74">
        <f t="shared" si="1"/>
        <v>19</v>
      </c>
      <c r="K47" s="48">
        <f t="shared" si="8"/>
        <v>108767.37949399851</v>
      </c>
      <c r="L47" s="43">
        <f t="shared" si="13"/>
        <v>-6042.6321941110327</v>
      </c>
      <c r="M47" s="75">
        <f t="shared" si="3"/>
        <v>102724.74729988747</v>
      </c>
      <c r="N47" s="32"/>
      <c r="O47" s="76">
        <f t="shared" si="14"/>
        <v>-120663.29999999996</v>
      </c>
      <c r="P47" s="39">
        <f t="shared" si="14"/>
        <v>8652.9955033597653</v>
      </c>
      <c r="Q47" s="88">
        <f t="shared" si="10"/>
        <v>114810.01168810966</v>
      </c>
      <c r="R47" s="87"/>
    </row>
    <row r="48" spans="2:18" x14ac:dyDescent="0.45">
      <c r="B48" s="7"/>
      <c r="C48" s="19">
        <f t="shared" si="11"/>
        <v>44409</v>
      </c>
      <c r="D48" s="26">
        <f t="shared" si="4"/>
        <v>20</v>
      </c>
      <c r="E48" s="34">
        <f t="shared" si="5"/>
        <v>105524.45449135677</v>
      </c>
      <c r="F48" s="43">
        <f t="shared" si="6"/>
        <v>-6350.7</v>
      </c>
      <c r="G48" s="47">
        <f t="shared" si="12"/>
        <v>284.71780473525752</v>
      </c>
      <c r="H48" s="60">
        <f t="shared" si="7"/>
        <v>99458.472296092034</v>
      </c>
      <c r="J48" s="74">
        <f t="shared" si="1"/>
        <v>20</v>
      </c>
      <c r="K48" s="48">
        <f t="shared" si="8"/>
        <v>102724.74729988747</v>
      </c>
      <c r="L48" s="43">
        <f t="shared" si="13"/>
        <v>-6042.6321941110327</v>
      </c>
      <c r="M48" s="75">
        <f t="shared" si="3"/>
        <v>96682.115105776436</v>
      </c>
      <c r="N48" s="32"/>
      <c r="O48" s="76">
        <f t="shared" si="14"/>
        <v>-127013.99999999996</v>
      </c>
      <c r="P48" s="39">
        <f t="shared" si="14"/>
        <v>8937.7133080950225</v>
      </c>
      <c r="Q48" s="88">
        <f t="shared" si="10"/>
        <v>120852.6438822207</v>
      </c>
      <c r="R48" s="87"/>
    </row>
    <row r="49" spans="2:18" x14ac:dyDescent="0.45">
      <c r="B49" s="7"/>
      <c r="C49" s="19">
        <f t="shared" si="11"/>
        <v>44440</v>
      </c>
      <c r="D49" s="26">
        <f t="shared" si="4"/>
        <v>21</v>
      </c>
      <c r="E49" s="34">
        <f t="shared" si="5"/>
        <v>99458.472296092034</v>
      </c>
      <c r="F49" s="43">
        <f t="shared" si="6"/>
        <v>-6350.7</v>
      </c>
      <c r="G49" s="47">
        <f t="shared" si="12"/>
        <v>267.30298422093028</v>
      </c>
      <c r="H49" s="60">
        <f t="shared" si="7"/>
        <v>93375.075280312973</v>
      </c>
      <c r="J49" s="74">
        <f t="shared" si="1"/>
        <v>21</v>
      </c>
      <c r="K49" s="48">
        <f t="shared" si="8"/>
        <v>96682.115105776436</v>
      </c>
      <c r="L49" s="43">
        <f t="shared" si="13"/>
        <v>-6042.6321941110327</v>
      </c>
      <c r="M49" s="75">
        <f t="shared" si="3"/>
        <v>90639.4829116654</v>
      </c>
      <c r="N49" s="80"/>
      <c r="O49" s="76">
        <f t="shared" si="14"/>
        <v>-133364.69999999995</v>
      </c>
      <c r="P49" s="39">
        <f t="shared" si="14"/>
        <v>9205.0162923159533</v>
      </c>
      <c r="Q49" s="88">
        <f t="shared" si="10"/>
        <v>126895.27607633173</v>
      </c>
      <c r="R49" s="87"/>
    </row>
    <row r="50" spans="2:18" x14ac:dyDescent="0.45">
      <c r="B50" s="7"/>
      <c r="C50" s="19">
        <f t="shared" si="11"/>
        <v>44470</v>
      </c>
      <c r="D50" s="26">
        <f t="shared" si="4"/>
        <v>22</v>
      </c>
      <c r="E50" s="34">
        <f t="shared" si="5"/>
        <v>93375.075280312973</v>
      </c>
      <c r="F50" s="43">
        <f t="shared" si="6"/>
        <v>-6350.7</v>
      </c>
      <c r="G50" s="47">
        <f t="shared" si="12"/>
        <v>249.83816752069552</v>
      </c>
      <c r="H50" s="60">
        <f t="shared" si="7"/>
        <v>87274.213447833667</v>
      </c>
      <c r="J50" s="74">
        <f t="shared" si="1"/>
        <v>22</v>
      </c>
      <c r="K50" s="48">
        <f t="shared" si="8"/>
        <v>90639.4829116654</v>
      </c>
      <c r="L50" s="43">
        <f t="shared" si="13"/>
        <v>-6042.6321941110327</v>
      </c>
      <c r="M50" s="75">
        <f t="shared" si="3"/>
        <v>84596.850717554364</v>
      </c>
      <c r="N50" s="32"/>
      <c r="O50" s="76">
        <f t="shared" si="14"/>
        <v>-139715.39999999997</v>
      </c>
      <c r="P50" s="39">
        <f t="shared" si="14"/>
        <v>9454.8544598366479</v>
      </c>
      <c r="Q50" s="88">
        <f t="shared" si="10"/>
        <v>132937.90827044277</v>
      </c>
      <c r="R50" s="32"/>
    </row>
    <row r="51" spans="2:18" x14ac:dyDescent="0.45">
      <c r="B51" s="7"/>
      <c r="C51" s="19">
        <f t="shared" si="11"/>
        <v>44501</v>
      </c>
      <c r="D51" s="26">
        <f t="shared" si="4"/>
        <v>23</v>
      </c>
      <c r="E51" s="34">
        <f t="shared" si="5"/>
        <v>87274.213447833667</v>
      </c>
      <c r="F51" s="43">
        <f t="shared" si="6"/>
        <v>-6350.7</v>
      </c>
      <c r="G51" s="47">
        <f t="shared" si="12"/>
        <v>232.32321110056711</v>
      </c>
      <c r="H51" s="60">
        <f t="shared" si="7"/>
        <v>81155.836658934233</v>
      </c>
      <c r="J51" s="74">
        <f t="shared" si="1"/>
        <v>23</v>
      </c>
      <c r="K51" s="48">
        <f t="shared" si="8"/>
        <v>84596.850717554364</v>
      </c>
      <c r="L51" s="43">
        <f t="shared" si="13"/>
        <v>-6042.6321941110327</v>
      </c>
      <c r="M51" s="75">
        <f t="shared" si="3"/>
        <v>78554.218523443327</v>
      </c>
      <c r="N51" s="32"/>
      <c r="O51" s="76">
        <f t="shared" si="14"/>
        <v>-146066.09999999998</v>
      </c>
      <c r="P51" s="39">
        <f t="shared" si="14"/>
        <v>9687.1776709372152</v>
      </c>
      <c r="Q51" s="88">
        <f t="shared" si="10"/>
        <v>138980.54046455381</v>
      </c>
      <c r="R51" s="32"/>
    </row>
    <row r="52" spans="2:18" x14ac:dyDescent="0.45">
      <c r="B52" s="7"/>
      <c r="C52" s="19">
        <f t="shared" si="11"/>
        <v>44531</v>
      </c>
      <c r="D52" s="26">
        <f t="shared" si="4"/>
        <v>24</v>
      </c>
      <c r="E52" s="34">
        <f t="shared" si="5"/>
        <v>81155.836658934233</v>
      </c>
      <c r="F52" s="43">
        <f t="shared" si="6"/>
        <v>-6350.7</v>
      </c>
      <c r="G52" s="47">
        <f t="shared" si="12"/>
        <v>214.75797101448748</v>
      </c>
      <c r="H52" s="60">
        <f t="shared" si="7"/>
        <v>75019.894629948729</v>
      </c>
      <c r="J52" s="74">
        <f t="shared" si="1"/>
        <v>24</v>
      </c>
      <c r="K52" s="48">
        <f t="shared" si="8"/>
        <v>78554.218523443327</v>
      </c>
      <c r="L52" s="43">
        <f t="shared" si="13"/>
        <v>-6042.6321941110327</v>
      </c>
      <c r="M52" s="75">
        <f t="shared" si="3"/>
        <v>72511.586329332291</v>
      </c>
      <c r="N52" s="32"/>
      <c r="O52" s="76">
        <f t="shared" si="14"/>
        <v>-152416.79999999999</v>
      </c>
      <c r="P52" s="39">
        <f t="shared" si="14"/>
        <v>9901.9356419517026</v>
      </c>
      <c r="Q52" s="88">
        <f t="shared" si="10"/>
        <v>145023.17265866484</v>
      </c>
      <c r="R52" s="32"/>
    </row>
    <row r="53" spans="2:18" x14ac:dyDescent="0.45">
      <c r="B53" s="7"/>
      <c r="C53" s="19">
        <f t="shared" si="11"/>
        <v>44562</v>
      </c>
      <c r="D53" s="26">
        <f t="shared" si="4"/>
        <v>25</v>
      </c>
      <c r="E53" s="34">
        <f t="shared" si="5"/>
        <v>75019.894629948729</v>
      </c>
      <c r="F53" s="43">
        <f t="shared" si="6"/>
        <v>-6350.7</v>
      </c>
      <c r="G53" s="47">
        <f t="shared" si="12"/>
        <v>197.14230290314444</v>
      </c>
      <c r="H53" s="60">
        <f t="shared" si="7"/>
        <v>68866.336932851875</v>
      </c>
      <c r="J53" s="74">
        <f t="shared" si="1"/>
        <v>25</v>
      </c>
      <c r="K53" s="48">
        <f t="shared" si="8"/>
        <v>72511.586329332291</v>
      </c>
      <c r="L53" s="43">
        <f t="shared" si="13"/>
        <v>-6042.6321941110327</v>
      </c>
      <c r="M53" s="75">
        <f t="shared" si="3"/>
        <v>66468.954135221255</v>
      </c>
      <c r="N53" s="32"/>
      <c r="O53" s="76">
        <f t="shared" si="14"/>
        <v>-158767.5</v>
      </c>
      <c r="P53" s="39">
        <f t="shared" si="14"/>
        <v>10099.077944854847</v>
      </c>
      <c r="Q53" s="88">
        <f t="shared" si="10"/>
        <v>151065.80485277588</v>
      </c>
      <c r="R53" s="32"/>
    </row>
    <row r="54" spans="2:18" x14ac:dyDescent="0.45">
      <c r="B54" s="7"/>
      <c r="C54" s="19">
        <f t="shared" si="11"/>
        <v>44593</v>
      </c>
      <c r="D54" s="26">
        <f t="shared" si="4"/>
        <v>26</v>
      </c>
      <c r="E54" s="34">
        <f t="shared" si="5"/>
        <v>68866.336932851875</v>
      </c>
      <c r="F54" s="43">
        <f t="shared" si="6"/>
        <v>-6350.7</v>
      </c>
      <c r="G54" s="47">
        <f t="shared" si="12"/>
        <v>179.47606199278488</v>
      </c>
      <c r="H54" s="60">
        <f t="shared" si="7"/>
        <v>62695.112994844661</v>
      </c>
      <c r="J54" s="74">
        <f t="shared" si="1"/>
        <v>26</v>
      </c>
      <c r="K54" s="48">
        <f t="shared" si="8"/>
        <v>66468.954135221255</v>
      </c>
      <c r="L54" s="43">
        <f t="shared" si="13"/>
        <v>-6042.6321941110327</v>
      </c>
      <c r="M54" s="75">
        <f t="shared" si="3"/>
        <v>60426.321941110218</v>
      </c>
      <c r="N54" s="32"/>
      <c r="O54" s="76">
        <f t="shared" si="14"/>
        <v>-165118.20000000001</v>
      </c>
      <c r="P54" s="39">
        <f t="shared" si="14"/>
        <v>10278.554006847633</v>
      </c>
      <c r="Q54" s="88">
        <f t="shared" si="10"/>
        <v>157108.43704688692</v>
      </c>
      <c r="R54" s="32"/>
    </row>
    <row r="55" spans="2:18" x14ac:dyDescent="0.45">
      <c r="B55" s="7"/>
      <c r="C55" s="19">
        <f t="shared" si="11"/>
        <v>44621</v>
      </c>
      <c r="D55" s="26">
        <f t="shared" si="4"/>
        <v>27</v>
      </c>
      <c r="E55" s="34">
        <f t="shared" si="5"/>
        <v>62695.112994844661</v>
      </c>
      <c r="F55" s="43">
        <f t="shared" si="6"/>
        <v>-6350.7</v>
      </c>
      <c r="G55" s="47">
        <f t="shared" si="12"/>
        <v>161.75910309402485</v>
      </c>
      <c r="H55" s="60">
        <f t="shared" si="7"/>
        <v>56506.172097938688</v>
      </c>
      <c r="J55" s="74">
        <f t="shared" si="1"/>
        <v>27</v>
      </c>
      <c r="K55" s="48">
        <f t="shared" si="8"/>
        <v>60426.321941110218</v>
      </c>
      <c r="L55" s="43">
        <f t="shared" si="13"/>
        <v>-6042.6321941110327</v>
      </c>
      <c r="M55" s="75">
        <f t="shared" si="3"/>
        <v>54383.689746999182</v>
      </c>
      <c r="N55" s="32"/>
      <c r="O55" s="76">
        <f t="shared" si="14"/>
        <v>-171468.90000000002</v>
      </c>
      <c r="P55" s="39">
        <f t="shared" si="14"/>
        <v>10440.313109941659</v>
      </c>
      <c r="Q55" s="88">
        <f t="shared" si="10"/>
        <v>163151.06924099795</v>
      </c>
      <c r="R55" s="32"/>
    </row>
    <row r="56" spans="2:18" x14ac:dyDescent="0.45">
      <c r="B56" s="7"/>
      <c r="C56" s="19">
        <f t="shared" si="11"/>
        <v>44652</v>
      </c>
      <c r="D56" s="26">
        <f t="shared" si="4"/>
        <v>28</v>
      </c>
      <c r="E56" s="34">
        <f t="shared" si="5"/>
        <v>56506.172097938688</v>
      </c>
      <c r="F56" s="43">
        <f t="shared" si="6"/>
        <v>-6350.7</v>
      </c>
      <c r="G56" s="47">
        <f t="shared" si="12"/>
        <v>143.99128060065647</v>
      </c>
      <c r="H56" s="60">
        <f t="shared" si="7"/>
        <v>50299.463378539345</v>
      </c>
      <c r="J56" s="74">
        <f t="shared" si="1"/>
        <v>28</v>
      </c>
      <c r="K56" s="48">
        <f t="shared" si="8"/>
        <v>54383.689746999182</v>
      </c>
      <c r="L56" s="43">
        <f t="shared" si="13"/>
        <v>-6042.6321941110327</v>
      </c>
      <c r="M56" s="75">
        <f t="shared" si="3"/>
        <v>48341.057552888145</v>
      </c>
      <c r="N56" s="32"/>
      <c r="O56" s="76">
        <f t="shared" si="14"/>
        <v>-177819.60000000003</v>
      </c>
      <c r="P56" s="39">
        <f t="shared" si="14"/>
        <v>10584.304390542315</v>
      </c>
      <c r="Q56" s="88">
        <f t="shared" si="10"/>
        <v>169193.70143510899</v>
      </c>
      <c r="R56" s="32"/>
    </row>
    <row r="57" spans="2:18" x14ac:dyDescent="0.45">
      <c r="B57" s="7"/>
      <c r="C57" s="19">
        <f t="shared" si="11"/>
        <v>44682</v>
      </c>
      <c r="D57" s="26">
        <f t="shared" si="4"/>
        <v>29</v>
      </c>
      <c r="E57" s="34">
        <f t="shared" si="5"/>
        <v>50299.463378539345</v>
      </c>
      <c r="F57" s="43">
        <f t="shared" si="6"/>
        <v>-6350.7</v>
      </c>
      <c r="G57" s="47">
        <f t="shared" si="12"/>
        <v>126.17244848845105</v>
      </c>
      <c r="H57" s="60">
        <f t="shared" si="7"/>
        <v>44074.935827027803</v>
      </c>
      <c r="J57" s="74">
        <f t="shared" si="1"/>
        <v>29</v>
      </c>
      <c r="K57" s="48">
        <f t="shared" si="8"/>
        <v>48341.057552888145</v>
      </c>
      <c r="L57" s="43">
        <f t="shared" si="13"/>
        <v>-6042.6321941110327</v>
      </c>
      <c r="M57" s="75">
        <f t="shared" si="3"/>
        <v>42298.425358777109</v>
      </c>
      <c r="N57" s="32"/>
      <c r="O57" s="76">
        <f t="shared" si="14"/>
        <v>-184170.30000000005</v>
      </c>
      <c r="P57" s="39">
        <f t="shared" si="14"/>
        <v>10710.476839030765</v>
      </c>
      <c r="Q57" s="88">
        <f t="shared" si="10"/>
        <v>175236.33362922003</v>
      </c>
      <c r="R57" s="32"/>
    </row>
    <row r="58" spans="2:18" x14ac:dyDescent="0.45">
      <c r="B58" s="7"/>
      <c r="C58" s="19">
        <f t="shared" si="11"/>
        <v>44713</v>
      </c>
      <c r="D58" s="26">
        <f t="shared" si="4"/>
        <v>30</v>
      </c>
      <c r="E58" s="34">
        <f t="shared" si="5"/>
        <v>44074.935827027803</v>
      </c>
      <c r="F58" s="43">
        <f t="shared" si="6"/>
        <v>-6350.7</v>
      </c>
      <c r="G58" s="47">
        <f t="shared" si="12"/>
        <v>108.3024603139593</v>
      </c>
      <c r="H58" s="60">
        <f t="shared" si="7"/>
        <v>37832.538287341762</v>
      </c>
      <c r="J58" s="74">
        <f t="shared" si="1"/>
        <v>30</v>
      </c>
      <c r="K58" s="48">
        <f t="shared" si="8"/>
        <v>42298.425358777109</v>
      </c>
      <c r="L58" s="43">
        <f t="shared" si="13"/>
        <v>-6042.6321941110327</v>
      </c>
      <c r="M58" s="75">
        <f t="shared" si="3"/>
        <v>36255.793164666073</v>
      </c>
      <c r="N58" s="32"/>
      <c r="O58" s="76">
        <f t="shared" si="14"/>
        <v>-190521.00000000006</v>
      </c>
      <c r="P58" s="39">
        <f t="shared" si="14"/>
        <v>10818.779299344726</v>
      </c>
      <c r="Q58" s="88">
        <f t="shared" si="10"/>
        <v>181278.96582333106</v>
      </c>
      <c r="R58" s="32"/>
    </row>
    <row r="59" spans="2:18" x14ac:dyDescent="0.45">
      <c r="B59" s="7"/>
      <c r="C59" s="19">
        <f t="shared" si="11"/>
        <v>44743</v>
      </c>
      <c r="D59" s="26">
        <f t="shared" si="4"/>
        <v>31</v>
      </c>
      <c r="E59" s="34">
        <f t="shared" si="5"/>
        <v>37832.538287341762</v>
      </c>
      <c r="F59" s="43">
        <f t="shared" si="6"/>
        <v>-6350.7</v>
      </c>
      <c r="G59" s="47">
        <f t="shared" si="12"/>
        <v>90.381169213307459</v>
      </c>
      <c r="H59" s="60">
        <f t="shared" si="7"/>
        <v>31572.219456555067</v>
      </c>
      <c r="J59" s="74">
        <f t="shared" si="1"/>
        <v>31</v>
      </c>
      <c r="K59" s="48">
        <f t="shared" si="8"/>
        <v>36255.793164666073</v>
      </c>
      <c r="L59" s="43">
        <f t="shared" si="13"/>
        <v>-6042.6321941110327</v>
      </c>
      <c r="M59" s="75">
        <f t="shared" si="3"/>
        <v>30213.16097055504</v>
      </c>
      <c r="N59" s="32"/>
      <c r="O59" s="76">
        <f t="shared" si="14"/>
        <v>-196871.70000000007</v>
      </c>
      <c r="P59" s="39">
        <f t="shared" si="14"/>
        <v>10909.160468558033</v>
      </c>
      <c r="Q59" s="88">
        <f t="shared" si="10"/>
        <v>187321.5980174421</v>
      </c>
      <c r="R59" s="32"/>
    </row>
    <row r="60" spans="2:18" x14ac:dyDescent="0.45">
      <c r="B60" s="7"/>
      <c r="C60" s="19">
        <f t="shared" si="11"/>
        <v>44774</v>
      </c>
      <c r="D60" s="26">
        <f t="shared" si="4"/>
        <v>32</v>
      </c>
      <c r="E60" s="34">
        <f t="shared" si="5"/>
        <v>31572.219456555067</v>
      </c>
      <c r="F60" s="43">
        <f t="shared" si="6"/>
        <v>-6350.7</v>
      </c>
      <c r="G60" s="47">
        <f t="shared" si="12"/>
        <v>72.408427900990546</v>
      </c>
      <c r="H60" s="60">
        <f t="shared" si="7"/>
        <v>25293.927884456058</v>
      </c>
      <c r="J60" s="74">
        <f t="shared" si="1"/>
        <v>32</v>
      </c>
      <c r="K60" s="48">
        <f t="shared" si="8"/>
        <v>30213.16097055504</v>
      </c>
      <c r="L60" s="43">
        <f t="shared" si="13"/>
        <v>-6042.6321941110327</v>
      </c>
      <c r="M60" s="75">
        <f t="shared" si="3"/>
        <v>24170.528776444007</v>
      </c>
      <c r="N60" s="32"/>
      <c r="O60" s="76">
        <f t="shared" si="14"/>
        <v>-203222.40000000008</v>
      </c>
      <c r="P60" s="39">
        <f t="shared" si="14"/>
        <v>10981.568896459024</v>
      </c>
      <c r="Q60" s="88">
        <f t="shared" si="10"/>
        <v>193364.23021155313</v>
      </c>
      <c r="R60" s="32"/>
    </row>
    <row r="61" spans="2:18" x14ac:dyDescent="0.45">
      <c r="B61" s="7"/>
      <c r="C61" s="19">
        <f t="shared" si="11"/>
        <v>44805</v>
      </c>
      <c r="D61" s="26">
        <f t="shared" si="4"/>
        <v>33</v>
      </c>
      <c r="E61" s="34">
        <f t="shared" si="5"/>
        <v>25293.927884456058</v>
      </c>
      <c r="F61" s="43">
        <f t="shared" si="6"/>
        <v>-6350.7</v>
      </c>
      <c r="G61" s="47">
        <f t="shared" si="12"/>
        <v>54.384088668661825</v>
      </c>
      <c r="H61" s="60">
        <f t="shared" si="7"/>
        <v>18997.61197312472</v>
      </c>
      <c r="J61" s="74">
        <f t="shared" si="1"/>
        <v>33</v>
      </c>
      <c r="K61" s="48">
        <f t="shared" si="8"/>
        <v>24170.528776444007</v>
      </c>
      <c r="L61" s="43">
        <f t="shared" si="13"/>
        <v>-6042.6321941110327</v>
      </c>
      <c r="M61" s="75">
        <f t="shared" si="3"/>
        <v>18127.896582332975</v>
      </c>
      <c r="N61" s="32"/>
      <c r="O61" s="76">
        <f t="shared" si="14"/>
        <v>-209573.10000000009</v>
      </c>
      <c r="P61" s="39">
        <f t="shared" si="14"/>
        <v>11035.952985127686</v>
      </c>
      <c r="Q61" s="88">
        <f t="shared" si="10"/>
        <v>199406.86240566417</v>
      </c>
      <c r="R61" s="32"/>
    </row>
    <row r="62" spans="2:18" x14ac:dyDescent="0.45">
      <c r="B62" s="7"/>
      <c r="C62" s="19">
        <f t="shared" si="11"/>
        <v>44835</v>
      </c>
      <c r="D62" s="26">
        <f t="shared" si="4"/>
        <v>34</v>
      </c>
      <c r="E62" s="34">
        <f t="shared" si="5"/>
        <v>18997.61197312472</v>
      </c>
      <c r="F62" s="43">
        <f t="shared" si="6"/>
        <v>-6350.7</v>
      </c>
      <c r="G62" s="47">
        <f t="shared" si="12"/>
        <v>36.308003383918809</v>
      </c>
      <c r="H62" s="60">
        <f t="shared" si="7"/>
        <v>12683.219976508639</v>
      </c>
      <c r="J62" s="74">
        <f t="shared" si="1"/>
        <v>34</v>
      </c>
      <c r="K62" s="48">
        <f t="shared" si="8"/>
        <v>18127.896582332975</v>
      </c>
      <c r="L62" s="43">
        <f t="shared" si="13"/>
        <v>-6042.6321941110327</v>
      </c>
      <c r="M62" s="75">
        <f t="shared" si="3"/>
        <v>12085.264388221942</v>
      </c>
      <c r="N62" s="32"/>
      <c r="O62" s="76">
        <f t="shared" ref="O62:P64" si="15">+O61+F62</f>
        <v>-215923.8000000001</v>
      </c>
      <c r="P62" s="39">
        <f t="shared" si="15"/>
        <v>11072.260988511605</v>
      </c>
      <c r="Q62" s="88">
        <f t="shared" si="10"/>
        <v>205449.49459977521</v>
      </c>
      <c r="R62" s="32"/>
    </row>
    <row r="63" spans="2:18" x14ac:dyDescent="0.45">
      <c r="B63" s="7"/>
      <c r="C63" s="19">
        <f t="shared" si="11"/>
        <v>44866</v>
      </c>
      <c r="D63" s="26">
        <f t="shared" si="4"/>
        <v>35</v>
      </c>
      <c r="E63" s="34">
        <f t="shared" si="5"/>
        <v>12683.219976508639</v>
      </c>
      <c r="F63" s="43">
        <f t="shared" si="6"/>
        <v>-6350.7</v>
      </c>
      <c r="G63" s="47">
        <f t="shared" si="12"/>
        <v>18.180023489085901</v>
      </c>
      <c r="H63" s="60">
        <f t="shared" si="7"/>
        <v>6350.6999999977252</v>
      </c>
      <c r="J63" s="74">
        <f t="shared" si="1"/>
        <v>35</v>
      </c>
      <c r="K63" s="48">
        <f t="shared" si="8"/>
        <v>12085.264388221942</v>
      </c>
      <c r="L63" s="43">
        <f t="shared" si="13"/>
        <v>-6042.6321941110327</v>
      </c>
      <c r="M63" s="75">
        <f t="shared" si="3"/>
        <v>6042.632194110909</v>
      </c>
      <c r="N63" s="32"/>
      <c r="O63" s="76">
        <f t="shared" si="15"/>
        <v>-222274.50000000012</v>
      </c>
      <c r="P63" s="39">
        <f t="shared" si="15"/>
        <v>11090.441012000691</v>
      </c>
      <c r="Q63" s="88">
        <f t="shared" si="10"/>
        <v>211492.12679388624</v>
      </c>
      <c r="R63" s="32"/>
    </row>
    <row r="64" spans="2:18" x14ac:dyDescent="0.45">
      <c r="B64" s="7"/>
      <c r="C64" s="19">
        <f t="shared" si="11"/>
        <v>44896</v>
      </c>
      <c r="D64" s="26">
        <f t="shared" si="4"/>
        <v>36</v>
      </c>
      <c r="E64" s="34">
        <f t="shared" si="5"/>
        <v>6350.6999999977252</v>
      </c>
      <c r="F64" s="43">
        <f t="shared" si="6"/>
        <v>-6350.7</v>
      </c>
      <c r="G64" s="47">
        <f t="shared" si="12"/>
        <v>-6.5302790029915578E-12</v>
      </c>
      <c r="H64" s="60">
        <f t="shared" si="7"/>
        <v>-2.2811765281370853E-9</v>
      </c>
      <c r="J64" s="74">
        <f t="shared" si="1"/>
        <v>36</v>
      </c>
      <c r="K64" s="48">
        <f t="shared" si="8"/>
        <v>6042.632194110909</v>
      </c>
      <c r="L64" s="43">
        <f t="shared" si="13"/>
        <v>-6042.6321941110327</v>
      </c>
      <c r="M64" s="75">
        <f t="shared" si="3"/>
        <v>-1.2369127944111824E-10</v>
      </c>
      <c r="N64" s="32"/>
      <c r="O64" s="76">
        <f t="shared" si="15"/>
        <v>-228625.20000000013</v>
      </c>
      <c r="P64" s="39">
        <f t="shared" si="15"/>
        <v>11090.441012000683</v>
      </c>
      <c r="Q64" s="88">
        <f t="shared" si="10"/>
        <v>217534.75898799728</v>
      </c>
      <c r="R64" s="32"/>
    </row>
    <row r="65" spans="2:18" x14ac:dyDescent="0.45">
      <c r="B65" s="7"/>
      <c r="C65" s="19">
        <f t="shared" si="11"/>
        <v>44927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44958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44986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45017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45047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45078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45108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45139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45170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45200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45231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45261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45292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45323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45352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45383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45413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45444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45474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45505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45536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45566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45597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45627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45658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45689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45717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45748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45778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45809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6">DATE(YEAR(C94),MONTH(C94)+1,DAY(C94))</f>
        <v>45839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6"/>
        <v>45870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6"/>
        <v>45901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6"/>
        <v>45931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6"/>
        <v>45962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6"/>
        <v>45992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6"/>
        <v>46023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6"/>
        <v>46054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6"/>
        <v>46082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6"/>
        <v>46113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6"/>
        <v>46143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6"/>
        <v>46174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6"/>
        <v>46204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-2.2700987756252289E-9</v>
      </c>
      <c r="F110" s="43">
        <f>SUM(F29:F107)</f>
        <v>-228625.20000000013</v>
      </c>
      <c r="G110" s="43">
        <f>SUM(G29:G107)</f>
        <v>11090.441012000683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145023.17265866473</v>
      </c>
      <c r="G116" s="119">
        <f>INDEX(M:M,MATCH(DATE(2021,12,DAY(D10)),C:C))</f>
        <v>72511.586329332291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-72482.989980628976</v>
      </c>
      <c r="G119" s="113">
        <f ca="1">IFERROR(SUM(INDIRECT("F"&amp;MATCH(DATE(2022,1,DAY(D10)),C:C)):INDIRECT("G"&amp;MATCH(DATE(2022,1,DAY(D10)),C:C)+11)),VALUE("0"))</f>
        <v>-75019.894629950999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-75019.894629950999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-76208.39999999998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46162-E00D-4AD8-A269-52139075BD36}">
  <dimension ref="B1:R130"/>
  <sheetViews>
    <sheetView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105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6500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44211</v>
      </c>
      <c r="E10" s="12">
        <f>VLOOKUP($C$2,'Lease Summary'!D:H,4,FALSE)</f>
        <v>44940</v>
      </c>
      <c r="F10">
        <f>DATEDIF(D10,E10,"m")+1</f>
        <v>24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24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13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2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6500</v>
      </c>
      <c r="G22" s="7" t="s">
        <v>229</v>
      </c>
      <c r="H22" s="53">
        <f>-PV(F16,F12,F22,0,1)</f>
        <v>150970.56229529972</v>
      </c>
      <c r="J22" s="17" t="s">
        <v>234</v>
      </c>
      <c r="K22" s="22"/>
      <c r="L22" s="7"/>
      <c r="M22" s="65">
        <f>H22</f>
        <v>150970.56229529972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44211</v>
      </c>
      <c r="D29" s="27">
        <v>1</v>
      </c>
      <c r="E29" s="33">
        <f>H22</f>
        <v>150970.56229529972</v>
      </c>
      <c r="F29" s="42">
        <f>-D7</f>
        <v>-6500</v>
      </c>
      <c r="G29" s="46">
        <f t="shared" ref="G29:G40" si="0">((E29+F29)*($F$16))</f>
        <v>414.76035223785823</v>
      </c>
      <c r="H29" s="59">
        <f>SUM(E29:G29)</f>
        <v>144885.32264753757</v>
      </c>
      <c r="J29" s="69">
        <f t="shared" ref="J29:J52" si="1">D29</f>
        <v>1</v>
      </c>
      <c r="K29" s="70">
        <f>M22</f>
        <v>150970.56229529972</v>
      </c>
      <c r="L29" s="42">
        <f t="shared" ref="L29:L40" si="2">-$M$22/$F$12</f>
        <v>-6290.4400956374884</v>
      </c>
      <c r="M29" s="71">
        <f t="shared" ref="M29:M52" si="3">K29+L29</f>
        <v>144680.12219966223</v>
      </c>
      <c r="N29" s="32"/>
      <c r="O29" s="72">
        <f>+F29</f>
        <v>-6500</v>
      </c>
      <c r="P29" s="73">
        <f>+G29</f>
        <v>414.76035223785823</v>
      </c>
      <c r="Q29" s="71">
        <f>-L29</f>
        <v>6290.4400956374884</v>
      </c>
      <c r="R29" s="85"/>
    </row>
    <row r="30" spans="2:18" x14ac:dyDescent="0.45">
      <c r="B30" s="7"/>
      <c r="C30" s="19">
        <f>DATE(YEAR(C29),MONTH(C29)+1,DAY(C29))</f>
        <v>44242</v>
      </c>
      <c r="D30" s="26">
        <f t="shared" ref="D30:D52" si="4">D29+1</f>
        <v>2</v>
      </c>
      <c r="E30" s="34">
        <f t="shared" ref="E30:E52" si="5">H29</f>
        <v>144885.32264753757</v>
      </c>
      <c r="F30" s="43">
        <f t="shared" ref="F30:F52" si="6">F29</f>
        <v>-6500</v>
      </c>
      <c r="G30" s="47">
        <f t="shared" si="0"/>
        <v>397.29024552782346</v>
      </c>
      <c r="H30" s="60">
        <f t="shared" ref="H30:H52" si="7">SUM(E30:G30)</f>
        <v>138782.61289306538</v>
      </c>
      <c r="J30" s="74">
        <f t="shared" si="1"/>
        <v>2</v>
      </c>
      <c r="K30" s="48">
        <f t="shared" ref="K30:K52" si="8">M29</f>
        <v>144680.12219966223</v>
      </c>
      <c r="L30" s="43">
        <f t="shared" si="2"/>
        <v>-6290.4400956374884</v>
      </c>
      <c r="M30" s="75">
        <f t="shared" si="3"/>
        <v>138389.68210402475</v>
      </c>
      <c r="N30" s="32"/>
      <c r="O30" s="76">
        <f t="shared" ref="O30:P45" si="9">+O29+F30</f>
        <v>-13000</v>
      </c>
      <c r="P30" s="77">
        <f t="shared" si="9"/>
        <v>812.05059776568169</v>
      </c>
      <c r="Q30" s="75">
        <f t="shared" ref="Q30:Q52" si="10">+Q29-L30</f>
        <v>12580.880191274977</v>
      </c>
      <c r="R30" s="86"/>
    </row>
    <row r="31" spans="2:18" x14ac:dyDescent="0.45">
      <c r="B31" s="7"/>
      <c r="C31" s="19">
        <f t="shared" ref="C31:C94" si="11">DATE(YEAR(C30),MONTH(C30)+1,DAY(C30))</f>
        <v>44270</v>
      </c>
      <c r="D31" s="26">
        <f t="shared" si="4"/>
        <v>3</v>
      </c>
      <c r="E31" s="34">
        <f t="shared" si="5"/>
        <v>138782.61289306538</v>
      </c>
      <c r="F31" s="43">
        <f t="shared" si="6"/>
        <v>-6500</v>
      </c>
      <c r="G31" s="47">
        <f t="shared" si="0"/>
        <v>379.7699839108127</v>
      </c>
      <c r="H31" s="60">
        <f t="shared" si="7"/>
        <v>132662.38287697619</v>
      </c>
      <c r="J31" s="74">
        <f t="shared" si="1"/>
        <v>3</v>
      </c>
      <c r="K31" s="48">
        <f t="shared" si="8"/>
        <v>138389.68210402475</v>
      </c>
      <c r="L31" s="43">
        <f t="shared" si="2"/>
        <v>-6290.4400956374884</v>
      </c>
      <c r="M31" s="75">
        <f t="shared" si="3"/>
        <v>132099.24200838726</v>
      </c>
      <c r="N31" s="32"/>
      <c r="O31" s="76">
        <f t="shared" si="9"/>
        <v>-19500</v>
      </c>
      <c r="P31" s="39">
        <f t="shared" si="9"/>
        <v>1191.8205816764944</v>
      </c>
      <c r="Q31" s="88">
        <f t="shared" si="10"/>
        <v>18871.320286912465</v>
      </c>
      <c r="R31" s="86"/>
    </row>
    <row r="32" spans="2:18" x14ac:dyDescent="0.45">
      <c r="B32" s="7"/>
      <c r="C32" s="19">
        <f t="shared" si="11"/>
        <v>44301</v>
      </c>
      <c r="D32" s="26">
        <f t="shared" si="4"/>
        <v>4</v>
      </c>
      <c r="E32" s="34">
        <f t="shared" si="5"/>
        <v>132662.38287697619</v>
      </c>
      <c r="F32" s="43">
        <f t="shared" si="6"/>
        <v>-6500</v>
      </c>
      <c r="G32" s="47">
        <f t="shared" si="0"/>
        <v>362.19942339716783</v>
      </c>
      <c r="H32" s="60">
        <f t="shared" si="7"/>
        <v>126524.58230037335</v>
      </c>
      <c r="J32" s="74">
        <f t="shared" si="1"/>
        <v>4</v>
      </c>
      <c r="K32" s="48">
        <f t="shared" si="8"/>
        <v>132099.24200838726</v>
      </c>
      <c r="L32" s="43">
        <f t="shared" si="2"/>
        <v>-6290.4400956374884</v>
      </c>
      <c r="M32" s="75">
        <f t="shared" si="3"/>
        <v>125808.80191274977</v>
      </c>
      <c r="N32" s="32"/>
      <c r="O32" s="76">
        <f t="shared" si="9"/>
        <v>-26000</v>
      </c>
      <c r="P32" s="39">
        <f t="shared" si="9"/>
        <v>1554.0200050736621</v>
      </c>
      <c r="Q32" s="88">
        <f t="shared" si="10"/>
        <v>25161.760382549954</v>
      </c>
      <c r="R32" s="86"/>
    </row>
    <row r="33" spans="2:18" x14ac:dyDescent="0.45">
      <c r="B33" s="7"/>
      <c r="C33" s="19">
        <f t="shared" si="11"/>
        <v>44331</v>
      </c>
      <c r="D33" s="26">
        <f t="shared" si="4"/>
        <v>5</v>
      </c>
      <c r="E33" s="34">
        <f t="shared" si="5"/>
        <v>126524.58230037335</v>
      </c>
      <c r="F33" s="43">
        <f t="shared" si="6"/>
        <v>-6500</v>
      </c>
      <c r="G33" s="47">
        <f t="shared" si="0"/>
        <v>344.57841958385086</v>
      </c>
      <c r="H33" s="60">
        <f t="shared" si="7"/>
        <v>120369.1607199572</v>
      </c>
      <c r="J33" s="74">
        <f t="shared" si="1"/>
        <v>5</v>
      </c>
      <c r="K33" s="48">
        <f t="shared" si="8"/>
        <v>125808.80191274977</v>
      </c>
      <c r="L33" s="43">
        <f t="shared" si="2"/>
        <v>-6290.4400956374884</v>
      </c>
      <c r="M33" s="75">
        <f t="shared" si="3"/>
        <v>119518.36181711228</v>
      </c>
      <c r="N33" s="32"/>
      <c r="O33" s="76">
        <f t="shared" si="9"/>
        <v>-32500</v>
      </c>
      <c r="P33" s="39">
        <f t="shared" si="9"/>
        <v>1898.5984246575131</v>
      </c>
      <c r="Q33" s="88">
        <f t="shared" si="10"/>
        <v>31452.200478187442</v>
      </c>
      <c r="R33" s="86"/>
    </row>
    <row r="34" spans="2:18" x14ac:dyDescent="0.45">
      <c r="B34" s="7"/>
      <c r="C34" s="19">
        <f t="shared" si="11"/>
        <v>44362</v>
      </c>
      <c r="D34" s="26">
        <f t="shared" si="4"/>
        <v>6</v>
      </c>
      <c r="E34" s="34">
        <f t="shared" si="5"/>
        <v>120369.1607199572</v>
      </c>
      <c r="F34" s="43">
        <f t="shared" si="6"/>
        <v>-6500</v>
      </c>
      <c r="G34" s="47">
        <f t="shared" si="0"/>
        <v>326.90682765325744</v>
      </c>
      <c r="H34" s="60">
        <f t="shared" si="7"/>
        <v>114196.06754761047</v>
      </c>
      <c r="J34" s="74">
        <f t="shared" si="1"/>
        <v>6</v>
      </c>
      <c r="K34" s="48">
        <f t="shared" si="8"/>
        <v>119518.36181711228</v>
      </c>
      <c r="L34" s="43">
        <f t="shared" si="2"/>
        <v>-6290.4400956374884</v>
      </c>
      <c r="M34" s="75">
        <f t="shared" si="3"/>
        <v>113227.92172147479</v>
      </c>
      <c r="N34" s="32"/>
      <c r="O34" s="76">
        <f t="shared" si="9"/>
        <v>-39000</v>
      </c>
      <c r="P34" s="39">
        <f t="shared" si="9"/>
        <v>2225.5052523107706</v>
      </c>
      <c r="Q34" s="88">
        <f t="shared" si="10"/>
        <v>37742.64057382493</v>
      </c>
      <c r="R34" s="86"/>
    </row>
    <row r="35" spans="2:18" x14ac:dyDescent="0.45">
      <c r="B35" s="7"/>
      <c r="C35" s="19">
        <f t="shared" si="11"/>
        <v>44392</v>
      </c>
      <c r="D35" s="26">
        <f t="shared" si="4"/>
        <v>7</v>
      </c>
      <c r="E35" s="34">
        <f t="shared" si="5"/>
        <v>114196.06754761047</v>
      </c>
      <c r="F35" s="43">
        <f t="shared" si="6"/>
        <v>-6500</v>
      </c>
      <c r="G35" s="47">
        <f t="shared" si="0"/>
        <v>309.18450237202643</v>
      </c>
      <c r="H35" s="60">
        <f t="shared" si="7"/>
        <v>108005.25204998249</v>
      </c>
      <c r="J35" s="74">
        <f t="shared" si="1"/>
        <v>7</v>
      </c>
      <c r="K35" s="48">
        <f t="shared" si="8"/>
        <v>113227.92172147479</v>
      </c>
      <c r="L35" s="43">
        <f t="shared" si="2"/>
        <v>-6290.4400956374884</v>
      </c>
      <c r="M35" s="75">
        <f t="shared" si="3"/>
        <v>106937.4816258373</v>
      </c>
      <c r="N35" s="32"/>
      <c r="O35" s="76">
        <f t="shared" si="9"/>
        <v>-45500</v>
      </c>
      <c r="P35" s="39">
        <f t="shared" si="9"/>
        <v>2534.6897546827972</v>
      </c>
      <c r="Q35" s="88">
        <f t="shared" si="10"/>
        <v>44033.080669462419</v>
      </c>
      <c r="R35" s="86"/>
    </row>
    <row r="36" spans="2:18" x14ac:dyDescent="0.45">
      <c r="B36" s="7"/>
      <c r="C36" s="19">
        <f t="shared" si="11"/>
        <v>44423</v>
      </c>
      <c r="D36" s="26">
        <f t="shared" si="4"/>
        <v>8</v>
      </c>
      <c r="E36" s="34">
        <f t="shared" si="5"/>
        <v>108005.25204998249</v>
      </c>
      <c r="F36" s="43">
        <f t="shared" si="6"/>
        <v>-6500</v>
      </c>
      <c r="G36" s="47">
        <f t="shared" si="0"/>
        <v>291.41129808984641</v>
      </c>
      <c r="H36" s="60">
        <f t="shared" si="7"/>
        <v>101796.66334807234</v>
      </c>
      <c r="J36" s="74">
        <f t="shared" si="1"/>
        <v>8</v>
      </c>
      <c r="K36" s="48">
        <f t="shared" si="8"/>
        <v>106937.4816258373</v>
      </c>
      <c r="L36" s="43">
        <f t="shared" si="2"/>
        <v>-6290.4400956374884</v>
      </c>
      <c r="M36" s="75">
        <f t="shared" si="3"/>
        <v>100647.04153019981</v>
      </c>
      <c r="N36" s="32"/>
      <c r="O36" s="76">
        <f t="shared" si="9"/>
        <v>-52000</v>
      </c>
      <c r="P36" s="39">
        <f t="shared" si="9"/>
        <v>2826.1010527726435</v>
      </c>
      <c r="Q36" s="88">
        <f t="shared" si="10"/>
        <v>50323.520765099907</v>
      </c>
      <c r="R36" s="86"/>
    </row>
    <row r="37" spans="2:18" x14ac:dyDescent="0.45">
      <c r="B37" s="7"/>
      <c r="C37" s="19">
        <f t="shared" si="11"/>
        <v>44454</v>
      </c>
      <c r="D37" s="26">
        <f t="shared" si="4"/>
        <v>9</v>
      </c>
      <c r="E37" s="34">
        <f t="shared" si="5"/>
        <v>101796.66334807234</v>
      </c>
      <c r="F37" s="43">
        <f t="shared" si="6"/>
        <v>-6500</v>
      </c>
      <c r="G37" s="47">
        <f t="shared" si="0"/>
        <v>273.58706873825889</v>
      </c>
      <c r="H37" s="60">
        <f t="shared" si="7"/>
        <v>95570.250416810595</v>
      </c>
      <c r="J37" s="74">
        <f t="shared" si="1"/>
        <v>9</v>
      </c>
      <c r="K37" s="48">
        <f t="shared" si="8"/>
        <v>100647.04153019981</v>
      </c>
      <c r="L37" s="43">
        <f t="shared" si="2"/>
        <v>-6290.4400956374884</v>
      </c>
      <c r="M37" s="75">
        <f t="shared" si="3"/>
        <v>94356.601434562326</v>
      </c>
      <c r="N37" s="32"/>
      <c r="O37" s="76">
        <f t="shared" si="9"/>
        <v>-58500</v>
      </c>
      <c r="P37" s="39">
        <f t="shared" si="9"/>
        <v>3099.6881215109024</v>
      </c>
      <c r="Q37" s="88">
        <f t="shared" si="10"/>
        <v>56613.960860737396</v>
      </c>
      <c r="R37" s="86"/>
    </row>
    <row r="38" spans="2:18" x14ac:dyDescent="0.45">
      <c r="B38" s="7"/>
      <c r="C38" s="19">
        <f t="shared" si="11"/>
        <v>44484</v>
      </c>
      <c r="D38" s="26">
        <f t="shared" si="4"/>
        <v>10</v>
      </c>
      <c r="E38" s="34">
        <f t="shared" si="5"/>
        <v>95570.250416810595</v>
      </c>
      <c r="F38" s="43">
        <f t="shared" si="6"/>
        <v>-6500</v>
      </c>
      <c r="G38" s="47">
        <f t="shared" si="0"/>
        <v>255.7116678294573</v>
      </c>
      <c r="H38" s="60">
        <f t="shared" si="7"/>
        <v>89325.96208464005</v>
      </c>
      <c r="J38" s="74">
        <f t="shared" si="1"/>
        <v>10</v>
      </c>
      <c r="K38" s="48">
        <f t="shared" si="8"/>
        <v>94356.601434562326</v>
      </c>
      <c r="L38" s="43">
        <f t="shared" si="2"/>
        <v>-6290.4400956374884</v>
      </c>
      <c r="M38" s="75">
        <f t="shared" si="3"/>
        <v>88066.161338924838</v>
      </c>
      <c r="N38" s="32"/>
      <c r="O38" s="76">
        <f t="shared" si="9"/>
        <v>-65000</v>
      </c>
      <c r="P38" s="39">
        <f t="shared" si="9"/>
        <v>3355.3997893403598</v>
      </c>
      <c r="Q38" s="88">
        <f t="shared" si="10"/>
        <v>62904.400956374884</v>
      </c>
      <c r="R38" s="87"/>
    </row>
    <row r="39" spans="2:18" x14ac:dyDescent="0.45">
      <c r="B39" s="7"/>
      <c r="C39" s="19">
        <f t="shared" si="11"/>
        <v>44515</v>
      </c>
      <c r="D39" s="26">
        <f t="shared" si="4"/>
        <v>11</v>
      </c>
      <c r="E39" s="34">
        <f t="shared" si="5"/>
        <v>89325.96208464005</v>
      </c>
      <c r="F39" s="43">
        <f t="shared" si="6"/>
        <v>-6500</v>
      </c>
      <c r="G39" s="47">
        <f t="shared" si="0"/>
        <v>237.78494845508365</v>
      </c>
      <c r="H39" s="60">
        <f t="shared" si="7"/>
        <v>83063.747033095133</v>
      </c>
      <c r="J39" s="74">
        <f t="shared" si="1"/>
        <v>11</v>
      </c>
      <c r="K39" s="48">
        <f t="shared" si="8"/>
        <v>88066.161338924838</v>
      </c>
      <c r="L39" s="43">
        <f t="shared" si="2"/>
        <v>-6290.4400956374884</v>
      </c>
      <c r="M39" s="75">
        <f t="shared" si="3"/>
        <v>81775.721243287349</v>
      </c>
      <c r="N39" s="32"/>
      <c r="O39" s="76">
        <f t="shared" si="9"/>
        <v>-71500</v>
      </c>
      <c r="P39" s="39">
        <f t="shared" si="9"/>
        <v>3593.1847377954437</v>
      </c>
      <c r="Q39" s="88">
        <f t="shared" si="10"/>
        <v>69194.841052012373</v>
      </c>
      <c r="R39" s="87"/>
    </row>
    <row r="40" spans="2:18" x14ac:dyDescent="0.45">
      <c r="B40" s="7"/>
      <c r="C40" s="19">
        <f t="shared" si="11"/>
        <v>44545</v>
      </c>
      <c r="D40" s="26">
        <f t="shared" si="4"/>
        <v>12</v>
      </c>
      <c r="E40" s="34">
        <f t="shared" si="5"/>
        <v>83063.747033095133</v>
      </c>
      <c r="F40" s="43">
        <f t="shared" si="6"/>
        <v>-6500</v>
      </c>
      <c r="G40" s="47">
        <f t="shared" si="0"/>
        <v>219.80676328502088</v>
      </c>
      <c r="H40" s="60">
        <f t="shared" si="7"/>
        <v>76783.553796380147</v>
      </c>
      <c r="J40" s="74">
        <f t="shared" si="1"/>
        <v>12</v>
      </c>
      <c r="K40" s="48">
        <f t="shared" si="8"/>
        <v>81775.721243287349</v>
      </c>
      <c r="L40" s="43">
        <f t="shared" si="2"/>
        <v>-6290.4400956374884</v>
      </c>
      <c r="M40" s="75">
        <f t="shared" si="3"/>
        <v>75485.281147649861</v>
      </c>
      <c r="N40" s="32"/>
      <c r="O40" s="76">
        <f t="shared" si="9"/>
        <v>-78000</v>
      </c>
      <c r="P40" s="39">
        <f t="shared" si="9"/>
        <v>3812.9915010804643</v>
      </c>
      <c r="Q40" s="88">
        <f t="shared" si="10"/>
        <v>75485.281147649861</v>
      </c>
      <c r="R40" s="87"/>
    </row>
    <row r="41" spans="2:18" x14ac:dyDescent="0.45">
      <c r="B41" s="7"/>
      <c r="C41" s="19">
        <f t="shared" si="11"/>
        <v>44576</v>
      </c>
      <c r="D41" s="26">
        <f t="shared" si="4"/>
        <v>13</v>
      </c>
      <c r="E41" s="34">
        <f t="shared" si="5"/>
        <v>76783.553796380147</v>
      </c>
      <c r="F41" s="43">
        <f t="shared" si="6"/>
        <v>-6500</v>
      </c>
      <c r="G41" s="47">
        <f t="shared" ref="G41:G52" si="12">((E41+F41)*($F$16))</f>
        <v>201.77696456618204</v>
      </c>
      <c r="H41" s="60">
        <f t="shared" si="7"/>
        <v>70485.330760946323</v>
      </c>
      <c r="J41" s="74">
        <f t="shared" si="1"/>
        <v>13</v>
      </c>
      <c r="K41" s="48">
        <f t="shared" si="8"/>
        <v>75485.281147649861</v>
      </c>
      <c r="L41" s="43">
        <f t="shared" ref="L41:L52" si="13">-$M$22/$F$12</f>
        <v>-6290.4400956374884</v>
      </c>
      <c r="M41" s="75">
        <f t="shared" si="3"/>
        <v>69194.841052012373</v>
      </c>
      <c r="N41" s="32"/>
      <c r="O41" s="76">
        <f t="shared" si="9"/>
        <v>-84500</v>
      </c>
      <c r="P41" s="39">
        <f t="shared" si="9"/>
        <v>4014.7684656466463</v>
      </c>
      <c r="Q41" s="88">
        <f t="shared" si="10"/>
        <v>81775.721243287349</v>
      </c>
      <c r="R41" s="87"/>
    </row>
    <row r="42" spans="2:18" x14ac:dyDescent="0.45">
      <c r="B42" s="7"/>
      <c r="C42" s="19">
        <f t="shared" si="11"/>
        <v>44607</v>
      </c>
      <c r="D42" s="26">
        <f t="shared" si="4"/>
        <v>14</v>
      </c>
      <c r="E42" s="34">
        <f t="shared" si="5"/>
        <v>70485.330760946323</v>
      </c>
      <c r="F42" s="43">
        <f t="shared" si="6"/>
        <v>-6500</v>
      </c>
      <c r="G42" s="47">
        <f t="shared" si="12"/>
        <v>183.69540412129606</v>
      </c>
      <c r="H42" s="60">
        <f t="shared" si="7"/>
        <v>64169.026165067618</v>
      </c>
      <c r="J42" s="74">
        <f t="shared" si="1"/>
        <v>14</v>
      </c>
      <c r="K42" s="48">
        <f t="shared" si="8"/>
        <v>69194.841052012373</v>
      </c>
      <c r="L42" s="43">
        <f t="shared" si="13"/>
        <v>-6290.4400956374884</v>
      </c>
      <c r="M42" s="75">
        <f t="shared" si="3"/>
        <v>62904.400956374884</v>
      </c>
      <c r="N42" s="32"/>
      <c r="O42" s="76">
        <f t="shared" si="9"/>
        <v>-91000</v>
      </c>
      <c r="P42" s="39">
        <f t="shared" si="9"/>
        <v>4198.463869767942</v>
      </c>
      <c r="Q42" s="88">
        <f t="shared" si="10"/>
        <v>88066.161338924838</v>
      </c>
      <c r="R42" s="87"/>
    </row>
    <row r="43" spans="2:18" x14ac:dyDescent="0.45">
      <c r="B43" s="7"/>
      <c r="C43" s="19">
        <f t="shared" si="11"/>
        <v>44635</v>
      </c>
      <c r="D43" s="26">
        <f t="shared" si="4"/>
        <v>15</v>
      </c>
      <c r="E43" s="34">
        <f t="shared" si="5"/>
        <v>64169.026165067618</v>
      </c>
      <c r="F43" s="43">
        <f t="shared" si="6"/>
        <v>-6500</v>
      </c>
      <c r="G43" s="47">
        <f t="shared" si="12"/>
        <v>165.56193334769</v>
      </c>
      <c r="H43" s="60">
        <f t="shared" si="7"/>
        <v>57834.588098415312</v>
      </c>
      <c r="J43" s="74">
        <f t="shared" si="1"/>
        <v>15</v>
      </c>
      <c r="K43" s="48">
        <f t="shared" si="8"/>
        <v>62904.400956374884</v>
      </c>
      <c r="L43" s="43">
        <f t="shared" si="13"/>
        <v>-6290.4400956374884</v>
      </c>
      <c r="M43" s="75">
        <f t="shared" si="3"/>
        <v>56613.960860737396</v>
      </c>
      <c r="N43" s="32"/>
      <c r="O43" s="76">
        <f t="shared" si="9"/>
        <v>-97500</v>
      </c>
      <c r="P43" s="39">
        <f t="shared" si="9"/>
        <v>4364.0258031156318</v>
      </c>
      <c r="Q43" s="88">
        <f t="shared" si="10"/>
        <v>94356.601434562326</v>
      </c>
      <c r="R43" s="87"/>
    </row>
    <row r="44" spans="2:18" x14ac:dyDescent="0.45">
      <c r="B44" s="7"/>
      <c r="C44" s="19">
        <f t="shared" si="11"/>
        <v>44666</v>
      </c>
      <c r="D44" s="26">
        <f t="shared" si="4"/>
        <v>16</v>
      </c>
      <c r="E44" s="34">
        <f t="shared" si="5"/>
        <v>57834.588098415312</v>
      </c>
      <c r="F44" s="43">
        <f t="shared" si="6"/>
        <v>-6500</v>
      </c>
      <c r="G44" s="47">
        <f t="shared" si="12"/>
        <v>147.37640321606756</v>
      </c>
      <c r="H44" s="60">
        <f t="shared" si="7"/>
        <v>51481.964501631381</v>
      </c>
      <c r="J44" s="74">
        <f t="shared" si="1"/>
        <v>16</v>
      </c>
      <c r="K44" s="48">
        <f t="shared" si="8"/>
        <v>56613.960860737396</v>
      </c>
      <c r="L44" s="43">
        <f t="shared" si="13"/>
        <v>-6290.4400956374884</v>
      </c>
      <c r="M44" s="75">
        <f t="shared" si="3"/>
        <v>50323.520765099907</v>
      </c>
      <c r="N44" s="32"/>
      <c r="O44" s="76">
        <f t="shared" si="9"/>
        <v>-104000</v>
      </c>
      <c r="P44" s="39">
        <f t="shared" si="9"/>
        <v>4511.4022063316997</v>
      </c>
      <c r="Q44" s="88">
        <f t="shared" si="10"/>
        <v>100647.04153019981</v>
      </c>
      <c r="R44" s="87"/>
    </row>
    <row r="45" spans="2:18" x14ac:dyDescent="0.45">
      <c r="B45" s="7"/>
      <c r="C45" s="19">
        <f t="shared" si="11"/>
        <v>44696</v>
      </c>
      <c r="D45" s="26">
        <f t="shared" si="4"/>
        <v>17</v>
      </c>
      <c r="E45" s="34">
        <f t="shared" si="5"/>
        <v>51481.964501631381</v>
      </c>
      <c r="F45" s="43">
        <f t="shared" si="6"/>
        <v>-6500</v>
      </c>
      <c r="G45" s="47">
        <f t="shared" si="12"/>
        <v>129.13866426928453</v>
      </c>
      <c r="H45" s="60">
        <f t="shared" si="7"/>
        <v>45111.103165900662</v>
      </c>
      <c r="J45" s="74">
        <f t="shared" si="1"/>
        <v>17</v>
      </c>
      <c r="K45" s="48">
        <f t="shared" si="8"/>
        <v>50323.520765099907</v>
      </c>
      <c r="L45" s="43">
        <f t="shared" si="13"/>
        <v>-6290.4400956374884</v>
      </c>
      <c r="M45" s="75">
        <f t="shared" si="3"/>
        <v>44033.080669462419</v>
      </c>
      <c r="N45" s="32"/>
      <c r="O45" s="76">
        <f t="shared" si="9"/>
        <v>-110500</v>
      </c>
      <c r="P45" s="39">
        <f t="shared" si="9"/>
        <v>4640.5408706009839</v>
      </c>
      <c r="Q45" s="88">
        <f t="shared" si="10"/>
        <v>106937.4816258373</v>
      </c>
      <c r="R45" s="87"/>
    </row>
    <row r="46" spans="2:18" x14ac:dyDescent="0.45">
      <c r="B46" s="7"/>
      <c r="C46" s="19">
        <f t="shared" si="11"/>
        <v>44727</v>
      </c>
      <c r="D46" s="26">
        <f t="shared" si="4"/>
        <v>18</v>
      </c>
      <c r="E46" s="34">
        <f t="shared" si="5"/>
        <v>45111.103165900662</v>
      </c>
      <c r="F46" s="43">
        <f t="shared" si="6"/>
        <v>-6500</v>
      </c>
      <c r="G46" s="47">
        <f t="shared" si="12"/>
        <v>110.8485666211203</v>
      </c>
      <c r="H46" s="60">
        <f t="shared" si="7"/>
        <v>38721.951732521782</v>
      </c>
      <c r="J46" s="74">
        <f t="shared" si="1"/>
        <v>18</v>
      </c>
      <c r="K46" s="48">
        <f t="shared" si="8"/>
        <v>44033.080669462419</v>
      </c>
      <c r="L46" s="43">
        <f t="shared" si="13"/>
        <v>-6290.4400956374884</v>
      </c>
      <c r="M46" s="75">
        <f t="shared" si="3"/>
        <v>37742.64057382493</v>
      </c>
      <c r="N46" s="32"/>
      <c r="O46" s="76">
        <f t="shared" ref="O46:P52" si="14">+O45+F46</f>
        <v>-117000</v>
      </c>
      <c r="P46" s="39">
        <f t="shared" si="14"/>
        <v>4751.3894372221039</v>
      </c>
      <c r="Q46" s="88">
        <f t="shared" si="10"/>
        <v>113227.92172147479</v>
      </c>
      <c r="R46" s="87"/>
    </row>
    <row r="47" spans="2:18" x14ac:dyDescent="0.45">
      <c r="B47" s="7"/>
      <c r="C47" s="19">
        <f t="shared" si="11"/>
        <v>44757</v>
      </c>
      <c r="D47" s="26">
        <f t="shared" si="4"/>
        <v>19</v>
      </c>
      <c r="E47" s="34">
        <f t="shared" si="5"/>
        <v>38721.951732521782</v>
      </c>
      <c r="F47" s="43">
        <f t="shared" si="6"/>
        <v>-6500</v>
      </c>
      <c r="G47" s="47">
        <f t="shared" si="12"/>
        <v>92.50595995504618</v>
      </c>
      <c r="H47" s="60">
        <f t="shared" si="7"/>
        <v>32314.45769247683</v>
      </c>
      <c r="J47" s="74">
        <f t="shared" si="1"/>
        <v>19</v>
      </c>
      <c r="K47" s="48">
        <f t="shared" si="8"/>
        <v>37742.64057382493</v>
      </c>
      <c r="L47" s="43">
        <f t="shared" si="13"/>
        <v>-6290.4400956374884</v>
      </c>
      <c r="M47" s="75">
        <f t="shared" si="3"/>
        <v>31452.200478187442</v>
      </c>
      <c r="N47" s="32"/>
      <c r="O47" s="76">
        <f t="shared" si="14"/>
        <v>-123500</v>
      </c>
      <c r="P47" s="39">
        <f t="shared" si="14"/>
        <v>4843.8953971771498</v>
      </c>
      <c r="Q47" s="88">
        <f t="shared" si="10"/>
        <v>119518.36181711228</v>
      </c>
      <c r="R47" s="87"/>
    </row>
    <row r="48" spans="2:18" x14ac:dyDescent="0.45">
      <c r="B48" s="7"/>
      <c r="C48" s="19">
        <f t="shared" si="11"/>
        <v>44788</v>
      </c>
      <c r="D48" s="26">
        <f t="shared" si="4"/>
        <v>20</v>
      </c>
      <c r="E48" s="34">
        <f t="shared" si="5"/>
        <v>32314.45769247683</v>
      </c>
      <c r="F48" s="43">
        <f t="shared" si="6"/>
        <v>-6500</v>
      </c>
      <c r="G48" s="47">
        <f t="shared" si="12"/>
        <v>74.110693522989905</v>
      </c>
      <c r="H48" s="60">
        <f t="shared" si="7"/>
        <v>25888.568385999821</v>
      </c>
      <c r="J48" s="74">
        <f t="shared" si="1"/>
        <v>20</v>
      </c>
      <c r="K48" s="48">
        <f t="shared" si="8"/>
        <v>31452.200478187442</v>
      </c>
      <c r="L48" s="43">
        <f t="shared" si="13"/>
        <v>-6290.4400956374884</v>
      </c>
      <c r="M48" s="75">
        <f t="shared" si="3"/>
        <v>25161.760382549954</v>
      </c>
      <c r="N48" s="32"/>
      <c r="O48" s="76">
        <f t="shared" si="14"/>
        <v>-130000</v>
      </c>
      <c r="P48" s="39">
        <f t="shared" si="14"/>
        <v>4918.0060907001398</v>
      </c>
      <c r="Q48" s="88">
        <f t="shared" si="10"/>
        <v>125808.80191274977</v>
      </c>
      <c r="R48" s="87"/>
    </row>
    <row r="49" spans="2:18" x14ac:dyDescent="0.45">
      <c r="B49" s="7"/>
      <c r="C49" s="19">
        <f t="shared" si="11"/>
        <v>44819</v>
      </c>
      <c r="D49" s="26">
        <f t="shared" si="4"/>
        <v>21</v>
      </c>
      <c r="E49" s="34">
        <f t="shared" si="5"/>
        <v>25888.568385999821</v>
      </c>
      <c r="F49" s="43">
        <f t="shared" si="6"/>
        <v>-6500</v>
      </c>
      <c r="G49" s="47">
        <f t="shared" si="12"/>
        <v>55.662616144096766</v>
      </c>
      <c r="H49" s="60">
        <f t="shared" si="7"/>
        <v>19444.231002143919</v>
      </c>
      <c r="J49" s="74">
        <f t="shared" si="1"/>
        <v>21</v>
      </c>
      <c r="K49" s="48">
        <f t="shared" si="8"/>
        <v>25161.760382549954</v>
      </c>
      <c r="L49" s="43">
        <f t="shared" si="13"/>
        <v>-6290.4400956374884</v>
      </c>
      <c r="M49" s="75">
        <f t="shared" si="3"/>
        <v>18871.320286912465</v>
      </c>
      <c r="N49" s="80"/>
      <c r="O49" s="76">
        <f t="shared" si="14"/>
        <v>-136500</v>
      </c>
      <c r="P49" s="39">
        <f t="shared" si="14"/>
        <v>4973.6687068442361</v>
      </c>
      <c r="Q49" s="88">
        <f t="shared" si="10"/>
        <v>132099.24200838726</v>
      </c>
      <c r="R49" s="87"/>
    </row>
    <row r="50" spans="2:18" x14ac:dyDescent="0.45">
      <c r="B50" s="7"/>
      <c r="C50" s="19">
        <f t="shared" si="11"/>
        <v>44849</v>
      </c>
      <c r="D50" s="26">
        <f t="shared" si="4"/>
        <v>22</v>
      </c>
      <c r="E50" s="34">
        <f t="shared" si="5"/>
        <v>19444.231002143919</v>
      </c>
      <c r="F50" s="43">
        <f t="shared" si="6"/>
        <v>-6500</v>
      </c>
      <c r="G50" s="47">
        <f t="shared" si="12"/>
        <v>37.161576203487137</v>
      </c>
      <c r="H50" s="60">
        <f t="shared" si="7"/>
        <v>12981.392578347406</v>
      </c>
      <c r="J50" s="74">
        <f t="shared" si="1"/>
        <v>22</v>
      </c>
      <c r="K50" s="48">
        <f t="shared" si="8"/>
        <v>18871.320286912465</v>
      </c>
      <c r="L50" s="43">
        <f t="shared" si="13"/>
        <v>-6290.4400956374884</v>
      </c>
      <c r="M50" s="75">
        <f t="shared" si="3"/>
        <v>12580.880191274977</v>
      </c>
      <c r="N50" s="32"/>
      <c r="O50" s="76">
        <f t="shared" si="14"/>
        <v>-143000</v>
      </c>
      <c r="P50" s="39">
        <f t="shared" si="14"/>
        <v>5010.8302830477232</v>
      </c>
      <c r="Q50" s="88">
        <f t="shared" si="10"/>
        <v>138389.68210402475</v>
      </c>
      <c r="R50" s="32"/>
    </row>
    <row r="51" spans="2:18" x14ac:dyDescent="0.45">
      <c r="B51" s="7"/>
      <c r="C51" s="19">
        <f t="shared" si="11"/>
        <v>44880</v>
      </c>
      <c r="D51" s="26">
        <f t="shared" si="4"/>
        <v>23</v>
      </c>
      <c r="E51" s="34">
        <f t="shared" si="5"/>
        <v>12981.392578347406</v>
      </c>
      <c r="F51" s="43">
        <f t="shared" si="6"/>
        <v>-6500</v>
      </c>
      <c r="G51" s="47">
        <f t="shared" si="12"/>
        <v>18.607421651010423</v>
      </c>
      <c r="H51" s="60">
        <f t="shared" si="7"/>
        <v>6499.9999999984166</v>
      </c>
      <c r="J51" s="74">
        <f t="shared" si="1"/>
        <v>23</v>
      </c>
      <c r="K51" s="48">
        <f t="shared" si="8"/>
        <v>12580.880191274977</v>
      </c>
      <c r="L51" s="43">
        <f t="shared" si="13"/>
        <v>-6290.4400956374884</v>
      </c>
      <c r="M51" s="75">
        <f t="shared" si="3"/>
        <v>6290.4400956374884</v>
      </c>
      <c r="N51" s="32"/>
      <c r="O51" s="76">
        <f t="shared" si="14"/>
        <v>-149500</v>
      </c>
      <c r="P51" s="39">
        <f t="shared" si="14"/>
        <v>5029.4377046987338</v>
      </c>
      <c r="Q51" s="88">
        <f t="shared" si="10"/>
        <v>144680.12219966223</v>
      </c>
      <c r="R51" s="32"/>
    </row>
    <row r="52" spans="2:18" x14ac:dyDescent="0.45">
      <c r="B52" s="7"/>
      <c r="C52" s="19">
        <f t="shared" si="11"/>
        <v>44910</v>
      </c>
      <c r="D52" s="26">
        <f t="shared" si="4"/>
        <v>24</v>
      </c>
      <c r="E52" s="34">
        <f t="shared" si="5"/>
        <v>6499.9999999984166</v>
      </c>
      <c r="F52" s="43">
        <f t="shared" si="6"/>
        <v>-6500</v>
      </c>
      <c r="G52" s="47">
        <f t="shared" si="12"/>
        <v>-4.5458679505031196E-12</v>
      </c>
      <c r="H52" s="60">
        <f t="shared" si="7"/>
        <v>-1.5879761437371711E-9</v>
      </c>
      <c r="J52" s="74">
        <f t="shared" si="1"/>
        <v>24</v>
      </c>
      <c r="K52" s="48">
        <f t="shared" si="8"/>
        <v>6290.4400956374884</v>
      </c>
      <c r="L52" s="43">
        <f t="shared" si="13"/>
        <v>-6290.4400956374884</v>
      </c>
      <c r="M52" s="75">
        <f t="shared" si="3"/>
        <v>0</v>
      </c>
      <c r="N52" s="32"/>
      <c r="O52" s="76">
        <f t="shared" si="14"/>
        <v>-156000</v>
      </c>
      <c r="P52" s="39">
        <f t="shared" si="14"/>
        <v>5029.4377046987292</v>
      </c>
      <c r="Q52" s="88">
        <f t="shared" si="10"/>
        <v>150970.56229529972</v>
      </c>
      <c r="R52" s="32"/>
    </row>
    <row r="53" spans="2:18" x14ac:dyDescent="0.45">
      <c r="B53" s="7"/>
      <c r="C53" s="19">
        <f t="shared" si="11"/>
        <v>44941</v>
      </c>
      <c r="D53" s="26"/>
      <c r="E53" s="34"/>
      <c r="F53" s="43"/>
      <c r="G53" s="47"/>
      <c r="H53" s="60"/>
      <c r="J53" s="74"/>
      <c r="K53" s="48"/>
      <c r="L53" s="43"/>
      <c r="M53" s="75"/>
      <c r="N53" s="32"/>
      <c r="O53" s="76"/>
      <c r="P53" s="39"/>
      <c r="Q53" s="88"/>
      <c r="R53" s="32"/>
    </row>
    <row r="54" spans="2:18" x14ac:dyDescent="0.45">
      <c r="B54" s="7"/>
      <c r="C54" s="19">
        <f t="shared" si="11"/>
        <v>44972</v>
      </c>
      <c r="D54" s="26"/>
      <c r="E54" s="34"/>
      <c r="F54" s="43"/>
      <c r="G54" s="47"/>
      <c r="H54" s="60"/>
      <c r="J54" s="74"/>
      <c r="K54" s="48"/>
      <c r="L54" s="43"/>
      <c r="M54" s="75"/>
      <c r="N54" s="32"/>
      <c r="O54" s="76"/>
      <c r="P54" s="39"/>
      <c r="Q54" s="88"/>
      <c r="R54" s="32"/>
    </row>
    <row r="55" spans="2:18" x14ac:dyDescent="0.45">
      <c r="B55" s="7"/>
      <c r="C55" s="19">
        <f t="shared" si="11"/>
        <v>45000</v>
      </c>
      <c r="D55" s="26"/>
      <c r="E55" s="34"/>
      <c r="F55" s="43"/>
      <c r="G55" s="47"/>
      <c r="H55" s="60"/>
      <c r="J55" s="74"/>
      <c r="K55" s="48"/>
      <c r="L55" s="43"/>
      <c r="M55" s="75"/>
      <c r="N55" s="32"/>
      <c r="O55" s="76"/>
      <c r="P55" s="39"/>
      <c r="Q55" s="88"/>
      <c r="R55" s="32"/>
    </row>
    <row r="56" spans="2:18" x14ac:dyDescent="0.45">
      <c r="B56" s="7"/>
      <c r="C56" s="19">
        <f t="shared" si="11"/>
        <v>45031</v>
      </c>
      <c r="D56" s="26"/>
      <c r="E56" s="34"/>
      <c r="F56" s="43"/>
      <c r="G56" s="47"/>
      <c r="H56" s="60"/>
      <c r="J56" s="74"/>
      <c r="K56" s="48"/>
      <c r="L56" s="43"/>
      <c r="M56" s="75"/>
      <c r="N56" s="32"/>
      <c r="O56" s="76"/>
      <c r="P56" s="39"/>
      <c r="Q56" s="88"/>
      <c r="R56" s="32"/>
    </row>
    <row r="57" spans="2:18" x14ac:dyDescent="0.45">
      <c r="B57" s="7"/>
      <c r="C57" s="19">
        <f t="shared" si="11"/>
        <v>45061</v>
      </c>
      <c r="D57" s="26"/>
      <c r="E57" s="34"/>
      <c r="F57" s="43"/>
      <c r="G57" s="47"/>
      <c r="H57" s="60"/>
      <c r="J57" s="74"/>
      <c r="K57" s="48"/>
      <c r="L57" s="43"/>
      <c r="M57" s="75"/>
      <c r="N57" s="32"/>
      <c r="O57" s="76"/>
      <c r="P57" s="39"/>
      <c r="Q57" s="88"/>
      <c r="R57" s="32"/>
    </row>
    <row r="58" spans="2:18" x14ac:dyDescent="0.45">
      <c r="B58" s="7"/>
      <c r="C58" s="19">
        <f t="shared" si="11"/>
        <v>45092</v>
      </c>
      <c r="D58" s="26"/>
      <c r="E58" s="34"/>
      <c r="F58" s="43"/>
      <c r="G58" s="47"/>
      <c r="H58" s="60"/>
      <c r="J58" s="74"/>
      <c r="K58" s="48"/>
      <c r="L58" s="43"/>
      <c r="M58" s="75"/>
      <c r="N58" s="32"/>
      <c r="O58" s="76"/>
      <c r="P58" s="39"/>
      <c r="Q58" s="88"/>
      <c r="R58" s="32"/>
    </row>
    <row r="59" spans="2:18" x14ac:dyDescent="0.45">
      <c r="B59" s="7"/>
      <c r="C59" s="19">
        <f t="shared" si="11"/>
        <v>45122</v>
      </c>
      <c r="D59" s="26"/>
      <c r="E59" s="34"/>
      <c r="F59" s="43"/>
      <c r="G59" s="47"/>
      <c r="H59" s="60"/>
      <c r="J59" s="74"/>
      <c r="K59" s="48"/>
      <c r="L59" s="43"/>
      <c r="M59" s="75"/>
      <c r="N59" s="32"/>
      <c r="O59" s="76"/>
      <c r="P59" s="39"/>
      <c r="Q59" s="88"/>
      <c r="R59" s="32"/>
    </row>
    <row r="60" spans="2:18" x14ac:dyDescent="0.45">
      <c r="B60" s="7"/>
      <c r="C60" s="19">
        <f t="shared" si="11"/>
        <v>45153</v>
      </c>
      <c r="D60" s="26"/>
      <c r="E60" s="34"/>
      <c r="F60" s="43"/>
      <c r="G60" s="47"/>
      <c r="H60" s="60"/>
      <c r="J60" s="74"/>
      <c r="K60" s="48"/>
      <c r="L60" s="43"/>
      <c r="M60" s="75"/>
      <c r="N60" s="32"/>
      <c r="O60" s="76"/>
      <c r="P60" s="39"/>
      <c r="Q60" s="88"/>
      <c r="R60" s="32"/>
    </row>
    <row r="61" spans="2:18" x14ac:dyDescent="0.45">
      <c r="B61" s="7"/>
      <c r="C61" s="19">
        <f t="shared" si="11"/>
        <v>45184</v>
      </c>
      <c r="D61" s="26"/>
      <c r="E61" s="34"/>
      <c r="F61" s="43"/>
      <c r="G61" s="47"/>
      <c r="H61" s="60"/>
      <c r="J61" s="74"/>
      <c r="K61" s="48"/>
      <c r="L61" s="43"/>
      <c r="M61" s="75"/>
      <c r="N61" s="32"/>
      <c r="O61" s="76"/>
      <c r="P61" s="39"/>
      <c r="Q61" s="88"/>
      <c r="R61" s="32"/>
    </row>
    <row r="62" spans="2:18" x14ac:dyDescent="0.45">
      <c r="B62" s="7"/>
      <c r="C62" s="19">
        <f t="shared" si="11"/>
        <v>45214</v>
      </c>
      <c r="D62" s="26"/>
      <c r="E62" s="34"/>
      <c r="F62" s="43"/>
      <c r="G62" s="47"/>
      <c r="H62" s="60"/>
      <c r="J62" s="74"/>
      <c r="K62" s="48"/>
      <c r="L62" s="43"/>
      <c r="M62" s="75"/>
      <c r="N62" s="32"/>
      <c r="O62" s="76"/>
      <c r="P62" s="39"/>
      <c r="Q62" s="88"/>
      <c r="R62" s="32"/>
    </row>
    <row r="63" spans="2:18" x14ac:dyDescent="0.45">
      <c r="B63" s="7"/>
      <c r="C63" s="19">
        <f t="shared" si="11"/>
        <v>45245</v>
      </c>
      <c r="D63" s="26"/>
      <c r="E63" s="34"/>
      <c r="F63" s="43"/>
      <c r="G63" s="47"/>
      <c r="H63" s="60"/>
      <c r="J63" s="74"/>
      <c r="K63" s="48"/>
      <c r="L63" s="43"/>
      <c r="M63" s="75"/>
      <c r="N63" s="32"/>
      <c r="O63" s="76"/>
      <c r="P63" s="39"/>
      <c r="Q63" s="88"/>
      <c r="R63" s="32"/>
    </row>
    <row r="64" spans="2:18" x14ac:dyDescent="0.45">
      <c r="B64" s="7"/>
      <c r="C64" s="19">
        <f t="shared" si="11"/>
        <v>45275</v>
      </c>
      <c r="D64" s="26"/>
      <c r="E64" s="34"/>
      <c r="F64" s="43"/>
      <c r="G64" s="47"/>
      <c r="H64" s="60"/>
      <c r="J64" s="74"/>
      <c r="K64" s="48"/>
      <c r="L64" s="43"/>
      <c r="M64" s="75"/>
      <c r="N64" s="32"/>
      <c r="O64" s="76"/>
      <c r="P64" s="39"/>
      <c r="Q64" s="88"/>
      <c r="R64" s="32"/>
    </row>
    <row r="65" spans="2:18" x14ac:dyDescent="0.45">
      <c r="B65" s="7"/>
      <c r="C65" s="19">
        <f t="shared" si="11"/>
        <v>45306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45337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45366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45397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45427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45458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45488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45519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45550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45580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45611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45641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45672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45703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45731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45762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45792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45823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45853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45884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45915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45945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45976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46006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46037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46068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46096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46127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46157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46188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5">DATE(YEAR(C94),MONTH(C94)+1,DAY(C94))</f>
        <v>46218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5"/>
        <v>46249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5"/>
        <v>46280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5"/>
        <v>46310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5"/>
        <v>46341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5"/>
        <v>46371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5"/>
        <v>46402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5"/>
        <v>46433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5"/>
        <v>46461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5"/>
        <v>46492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5"/>
        <v>46522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5"/>
        <v>46553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5"/>
        <v>46583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-1.5425030142068863E-9</v>
      </c>
      <c r="F110" s="43">
        <f>SUM(F29:F107)</f>
        <v>-156000</v>
      </c>
      <c r="G110" s="43">
        <f>SUM(G29:G107)</f>
        <v>5029.4377046987292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150970.56229529972</v>
      </c>
      <c r="G116" s="119">
        <f>INDEX(M:M,MATCH(DATE(2021,12,DAY(D10)),C:C))</f>
        <v>75485.281147649861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-74187.008498919546</v>
      </c>
      <c r="G119" s="113">
        <f ca="1">IFERROR(SUM(INDIRECT("F"&amp;MATCH(DATE(2022,1,DAY(D10)),C:C)):INDIRECT("G"&amp;MATCH(DATE(2022,1,DAY(D10)),C:C)+11)),VALUE("0"))</f>
        <v>-76783.553796381719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-76783.553796381719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-78000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7A61B-20D0-4F8E-8621-DBA97FF5F71E}">
  <dimension ref="A1:R130"/>
  <sheetViews>
    <sheetView zoomScale="85" zoomScaleNormal="85" workbookViewId="0">
      <selection activeCell="F116" sqref="F116"/>
    </sheetView>
  </sheetViews>
  <sheetFormatPr defaultRowHeight="14.25" x14ac:dyDescent="0.45"/>
  <cols>
    <col min="1" max="1" width="12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108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43885</v>
      </c>
      <c r="E10" s="12">
        <f>VLOOKUP($C$2,'Lease Summary'!D:H,4,FALSE)</f>
        <v>44980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14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661875.08559346967</v>
      </c>
      <c r="J22" s="17" t="s">
        <v>234</v>
      </c>
      <c r="K22" s="22"/>
      <c r="L22" s="7"/>
      <c r="M22" s="65">
        <f>H22</f>
        <v>661875.08559346967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661875.08559346967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v>19200</v>
      </c>
      <c r="B29" s="103">
        <f>A29/((1+$F$16)^($F$12-1))</f>
        <v>17367.016163066983</v>
      </c>
      <c r="C29" s="19">
        <f>D10</f>
        <v>43885</v>
      </c>
      <c r="D29" s="27">
        <v>1</v>
      </c>
      <c r="E29" s="33">
        <f>A28</f>
        <v>661875.08559346967</v>
      </c>
      <c r="F29" s="106">
        <f>-A29</f>
        <v>-19200</v>
      </c>
      <c r="G29" s="46">
        <f>A29-B29</f>
        <v>1832.9838369330173</v>
      </c>
      <c r="H29" s="59">
        <f>SUM(E29:G29)</f>
        <v>644508.06943040271</v>
      </c>
      <c r="J29" s="69">
        <f t="shared" ref="J29:J64" si="0">D29</f>
        <v>1</v>
      </c>
      <c r="K29" s="70">
        <f>M22</f>
        <v>661875.08559346967</v>
      </c>
      <c r="L29" s="42">
        <f t="shared" ref="L29:L40" si="1">-$M$22/$F$12</f>
        <v>-18385.419044263046</v>
      </c>
      <c r="M29" s="71">
        <f t="shared" ref="M29:M64" si="2">K29+L29</f>
        <v>643489.66654920659</v>
      </c>
      <c r="N29" s="32"/>
      <c r="O29" s="72">
        <f>+F29</f>
        <v>-19200</v>
      </c>
      <c r="P29" s="73">
        <f>+G29</f>
        <v>1832.9838369330173</v>
      </c>
      <c r="Q29" s="71">
        <f>-L29</f>
        <v>18385.419044263046</v>
      </c>
      <c r="R29" s="85"/>
    </row>
    <row r="30" spans="1:18" x14ac:dyDescent="0.45">
      <c r="A30" s="3">
        <v>19200</v>
      </c>
      <c r="B30" s="103">
        <f>A30/((1+$F$16)^($F$12-2))</f>
        <v>17416.875107523716</v>
      </c>
      <c r="C30" s="19">
        <f>DATE(YEAR(C29),MONTH(C29)+1,DAY(C29))</f>
        <v>43914</v>
      </c>
      <c r="D30" s="26">
        <f t="shared" ref="D30:D64" si="3">D29+1</f>
        <v>2</v>
      </c>
      <c r="E30" s="34">
        <f t="shared" ref="E30:E64" si="4">H29</f>
        <v>644508.06943040271</v>
      </c>
      <c r="F30" s="107">
        <f t="shared" ref="F30:F64" si="5">-A30</f>
        <v>-19200</v>
      </c>
      <c r="G30" s="47">
        <f t="shared" ref="G30:G64" si="6">A30-B30</f>
        <v>1783.124892476284</v>
      </c>
      <c r="H30" s="60">
        <f t="shared" ref="H30:H64" si="7">SUM(E30:G30)</f>
        <v>627091.19432287896</v>
      </c>
      <c r="J30" s="74">
        <f t="shared" si="0"/>
        <v>2</v>
      </c>
      <c r="K30" s="48">
        <f t="shared" ref="K30:K64" si="8">M29</f>
        <v>643489.66654920659</v>
      </c>
      <c r="L30" s="43">
        <f t="shared" si="1"/>
        <v>-18385.419044263046</v>
      </c>
      <c r="M30" s="75">
        <f t="shared" si="2"/>
        <v>625104.24750494352</v>
      </c>
      <c r="N30" s="32"/>
      <c r="O30" s="76">
        <f t="shared" ref="O30:P45" si="9">+O29+F30</f>
        <v>-38400</v>
      </c>
      <c r="P30" s="77">
        <f t="shared" si="9"/>
        <v>3616.1087294093013</v>
      </c>
      <c r="Q30" s="75">
        <f t="shared" ref="Q30:Q64" si="10">+Q29-L30</f>
        <v>36770.838088526092</v>
      </c>
      <c r="R30" s="86"/>
    </row>
    <row r="31" spans="1:18" x14ac:dyDescent="0.45">
      <c r="A31" s="3">
        <v>19200</v>
      </c>
      <c r="B31" s="103">
        <f>A31/((1+$F$16)^($F$12-3))</f>
        <v>17466.877191960222</v>
      </c>
      <c r="C31" s="19">
        <f t="shared" ref="C31:C94" si="11">DATE(YEAR(C30),MONTH(C30)+1,DAY(C30))</f>
        <v>43945</v>
      </c>
      <c r="D31" s="26">
        <f t="shared" si="3"/>
        <v>3</v>
      </c>
      <c r="E31" s="34">
        <f t="shared" si="4"/>
        <v>627091.19432287896</v>
      </c>
      <c r="F31" s="107">
        <f t="shared" si="5"/>
        <v>-19200</v>
      </c>
      <c r="G31" s="47">
        <f t="shared" si="6"/>
        <v>1733.1228080397777</v>
      </c>
      <c r="H31" s="60">
        <f t="shared" si="7"/>
        <v>609624.31713091873</v>
      </c>
      <c r="J31" s="74">
        <f t="shared" si="0"/>
        <v>3</v>
      </c>
      <c r="K31" s="48">
        <f t="shared" si="8"/>
        <v>625104.24750494352</v>
      </c>
      <c r="L31" s="43">
        <f t="shared" si="1"/>
        <v>-18385.419044263046</v>
      </c>
      <c r="M31" s="75">
        <f t="shared" si="2"/>
        <v>606718.82846068044</v>
      </c>
      <c r="N31" s="32"/>
      <c r="O31" s="76">
        <f t="shared" si="9"/>
        <v>-57600</v>
      </c>
      <c r="P31" s="39">
        <f t="shared" si="9"/>
        <v>5349.231537449079</v>
      </c>
      <c r="Q31" s="88">
        <f t="shared" si="10"/>
        <v>55156.257132789135</v>
      </c>
      <c r="R31" s="86"/>
    </row>
    <row r="32" spans="1:18" x14ac:dyDescent="0.45">
      <c r="A32" s="3">
        <v>19200</v>
      </c>
      <c r="B32" s="103">
        <f>A32/((1+$F$16)^($F$12-4))</f>
        <v>17517.022827316887</v>
      </c>
      <c r="C32" s="19">
        <f t="shared" si="11"/>
        <v>43975</v>
      </c>
      <c r="D32" s="26">
        <f t="shared" si="3"/>
        <v>4</v>
      </c>
      <c r="E32" s="34">
        <f t="shared" si="4"/>
        <v>609624.31713091873</v>
      </c>
      <c r="F32" s="107">
        <f t="shared" si="5"/>
        <v>-19200</v>
      </c>
      <c r="G32" s="47">
        <f t="shared" si="6"/>
        <v>1682.9771726831132</v>
      </c>
      <c r="H32" s="60">
        <f t="shared" si="7"/>
        <v>592107.29430360184</v>
      </c>
      <c r="J32" s="74">
        <f t="shared" si="0"/>
        <v>4</v>
      </c>
      <c r="K32" s="48">
        <f t="shared" si="8"/>
        <v>606718.82846068044</v>
      </c>
      <c r="L32" s="43">
        <f t="shared" si="1"/>
        <v>-18385.419044263046</v>
      </c>
      <c r="M32" s="75">
        <f t="shared" si="2"/>
        <v>588333.40941641736</v>
      </c>
      <c r="N32" s="32"/>
      <c r="O32" s="76">
        <f t="shared" si="9"/>
        <v>-76800</v>
      </c>
      <c r="P32" s="39">
        <f t="shared" si="9"/>
        <v>7032.2087101321922</v>
      </c>
      <c r="Q32" s="88">
        <f t="shared" si="10"/>
        <v>73541.676177052184</v>
      </c>
      <c r="R32" s="86"/>
    </row>
    <row r="33" spans="1:18" x14ac:dyDescent="0.45">
      <c r="A33" s="3">
        <v>19200</v>
      </c>
      <c r="B33" s="103">
        <f>A33/((1+$F$16)^($F$12-5))</f>
        <v>17567.312425713866</v>
      </c>
      <c r="C33" s="19">
        <f t="shared" si="11"/>
        <v>44006</v>
      </c>
      <c r="D33" s="26">
        <f t="shared" si="3"/>
        <v>5</v>
      </c>
      <c r="E33" s="34">
        <f t="shared" si="4"/>
        <v>592107.29430360184</v>
      </c>
      <c r="F33" s="107">
        <f t="shared" si="5"/>
        <v>-19200</v>
      </c>
      <c r="G33" s="47">
        <f t="shared" si="6"/>
        <v>1632.6875742861339</v>
      </c>
      <c r="H33" s="60">
        <f t="shared" si="7"/>
        <v>574539.98187788797</v>
      </c>
      <c r="J33" s="74">
        <f t="shared" si="0"/>
        <v>5</v>
      </c>
      <c r="K33" s="48">
        <f t="shared" si="8"/>
        <v>588333.40941641736</v>
      </c>
      <c r="L33" s="43">
        <f t="shared" si="1"/>
        <v>-18385.419044263046</v>
      </c>
      <c r="M33" s="75">
        <f t="shared" si="2"/>
        <v>569947.99037215428</v>
      </c>
      <c r="N33" s="32"/>
      <c r="O33" s="76">
        <f t="shared" si="9"/>
        <v>-96000</v>
      </c>
      <c r="P33" s="39">
        <f t="shared" si="9"/>
        <v>8664.8962844183261</v>
      </c>
      <c r="Q33" s="88">
        <f t="shared" si="10"/>
        <v>91927.095221315234</v>
      </c>
      <c r="R33" s="86"/>
    </row>
    <row r="34" spans="1:18" x14ac:dyDescent="0.45">
      <c r="A34" s="3">
        <v>19200</v>
      </c>
      <c r="B34" s="103">
        <f>A34/((1+$F$16)^($F$12-6))</f>
        <v>17617.746400454467</v>
      </c>
      <c r="C34" s="19">
        <f t="shared" si="11"/>
        <v>44036</v>
      </c>
      <c r="D34" s="26">
        <f t="shared" si="3"/>
        <v>6</v>
      </c>
      <c r="E34" s="34">
        <f t="shared" si="4"/>
        <v>574539.98187788797</v>
      </c>
      <c r="F34" s="107">
        <f t="shared" si="5"/>
        <v>-19200</v>
      </c>
      <c r="G34" s="47">
        <f t="shared" si="6"/>
        <v>1582.2535995455328</v>
      </c>
      <c r="H34" s="60">
        <f t="shared" si="7"/>
        <v>556922.23547743354</v>
      </c>
      <c r="J34" s="74">
        <f t="shared" si="0"/>
        <v>6</v>
      </c>
      <c r="K34" s="48">
        <f t="shared" si="8"/>
        <v>569947.99037215428</v>
      </c>
      <c r="L34" s="43">
        <f t="shared" si="1"/>
        <v>-18385.419044263046</v>
      </c>
      <c r="M34" s="75">
        <f t="shared" si="2"/>
        <v>551562.5713278912</v>
      </c>
      <c r="N34" s="32"/>
      <c r="O34" s="76">
        <f t="shared" si="9"/>
        <v>-115200</v>
      </c>
      <c r="P34" s="39">
        <f t="shared" si="9"/>
        <v>10247.149883963859</v>
      </c>
      <c r="Q34" s="88">
        <f t="shared" si="10"/>
        <v>110312.51426557828</v>
      </c>
      <c r="R34" s="86"/>
    </row>
    <row r="35" spans="1:18" x14ac:dyDescent="0.45">
      <c r="A35" s="3">
        <v>19200</v>
      </c>
      <c r="B35" s="103">
        <f>A35/((1+$F$16)^($F$12-7))</f>
        <v>17668.325166028553</v>
      </c>
      <c r="C35" s="19">
        <f t="shared" si="11"/>
        <v>44067</v>
      </c>
      <c r="D35" s="26">
        <f t="shared" si="3"/>
        <v>7</v>
      </c>
      <c r="E35" s="34">
        <f t="shared" si="4"/>
        <v>556922.23547743354</v>
      </c>
      <c r="F35" s="107">
        <f t="shared" si="5"/>
        <v>-19200</v>
      </c>
      <c r="G35" s="47">
        <f t="shared" si="6"/>
        <v>1531.6748339714468</v>
      </c>
      <c r="H35" s="60">
        <f t="shared" si="7"/>
        <v>539253.91031140496</v>
      </c>
      <c r="J35" s="74">
        <f t="shared" si="0"/>
        <v>7</v>
      </c>
      <c r="K35" s="48">
        <f t="shared" si="8"/>
        <v>551562.5713278912</v>
      </c>
      <c r="L35" s="43">
        <f t="shared" si="1"/>
        <v>-18385.419044263046</v>
      </c>
      <c r="M35" s="75">
        <f t="shared" si="2"/>
        <v>533177.15228362812</v>
      </c>
      <c r="N35" s="32"/>
      <c r="O35" s="76">
        <f t="shared" si="9"/>
        <v>-134400</v>
      </c>
      <c r="P35" s="39">
        <f t="shared" si="9"/>
        <v>11778.824717935306</v>
      </c>
      <c r="Q35" s="88">
        <f t="shared" si="10"/>
        <v>128697.93330984133</v>
      </c>
      <c r="R35" s="86"/>
    </row>
    <row r="36" spans="1:18" x14ac:dyDescent="0.45">
      <c r="A36" s="3">
        <v>19200</v>
      </c>
      <c r="B36" s="103">
        <f>A36/((1+$F$16)^($F$12-8))</f>
        <v>17719.04913811593</v>
      </c>
      <c r="C36" s="19">
        <f t="shared" si="11"/>
        <v>44098</v>
      </c>
      <c r="D36" s="26">
        <f t="shared" si="3"/>
        <v>8</v>
      </c>
      <c r="E36" s="34">
        <f t="shared" si="4"/>
        <v>539253.91031140496</v>
      </c>
      <c r="F36" s="107">
        <f t="shared" si="5"/>
        <v>-19200</v>
      </c>
      <c r="G36" s="47">
        <f t="shared" si="6"/>
        <v>1480.95086188407</v>
      </c>
      <c r="H36" s="60">
        <f t="shared" si="7"/>
        <v>521534.86117328901</v>
      </c>
      <c r="J36" s="74">
        <f t="shared" si="0"/>
        <v>8</v>
      </c>
      <c r="K36" s="48">
        <f t="shared" si="8"/>
        <v>533177.15228362812</v>
      </c>
      <c r="L36" s="43">
        <f t="shared" si="1"/>
        <v>-18385.419044263046</v>
      </c>
      <c r="M36" s="75">
        <f t="shared" si="2"/>
        <v>514791.7332393651</v>
      </c>
      <c r="N36" s="32"/>
      <c r="O36" s="76">
        <f t="shared" si="9"/>
        <v>-153600</v>
      </c>
      <c r="P36" s="39">
        <f t="shared" si="9"/>
        <v>13259.775579819376</v>
      </c>
      <c r="Q36" s="88">
        <f t="shared" si="10"/>
        <v>147083.35235410437</v>
      </c>
      <c r="R36" s="86"/>
    </row>
    <row r="37" spans="1:18" x14ac:dyDescent="0.45">
      <c r="A37" s="3">
        <v>19200</v>
      </c>
      <c r="B37" s="103">
        <f>A37/((1+$F$16)^($F$12-9))</f>
        <v>17769.918733589802</v>
      </c>
      <c r="C37" s="19">
        <f t="shared" si="11"/>
        <v>44128</v>
      </c>
      <c r="D37" s="26">
        <f t="shared" si="3"/>
        <v>9</v>
      </c>
      <c r="E37" s="34">
        <f t="shared" si="4"/>
        <v>521534.86117328901</v>
      </c>
      <c r="F37" s="107">
        <f t="shared" si="5"/>
        <v>-19200</v>
      </c>
      <c r="G37" s="47">
        <f t="shared" si="6"/>
        <v>1430.0812664101977</v>
      </c>
      <c r="H37" s="60">
        <f t="shared" si="7"/>
        <v>503764.9424396992</v>
      </c>
      <c r="J37" s="74">
        <f t="shared" si="0"/>
        <v>9</v>
      </c>
      <c r="K37" s="48">
        <f t="shared" si="8"/>
        <v>514791.7332393651</v>
      </c>
      <c r="L37" s="43">
        <f t="shared" si="1"/>
        <v>-18385.419044263046</v>
      </c>
      <c r="M37" s="75">
        <f t="shared" si="2"/>
        <v>496406.31419510208</v>
      </c>
      <c r="N37" s="32"/>
      <c r="O37" s="76">
        <f t="shared" si="9"/>
        <v>-172800</v>
      </c>
      <c r="P37" s="39">
        <f t="shared" si="9"/>
        <v>14689.856846229573</v>
      </c>
      <c r="Q37" s="88">
        <f t="shared" si="10"/>
        <v>165468.77139836742</v>
      </c>
      <c r="R37" s="86"/>
    </row>
    <row r="38" spans="1:18" x14ac:dyDescent="0.45">
      <c r="A38" s="3">
        <v>19200</v>
      </c>
      <c r="B38" s="103">
        <f>A38/((1+$F$16)^($F$12-10))</f>
        <v>17820.934370520161</v>
      </c>
      <c r="C38" s="19">
        <f t="shared" si="11"/>
        <v>44159</v>
      </c>
      <c r="D38" s="26">
        <f t="shared" si="3"/>
        <v>10</v>
      </c>
      <c r="E38" s="34">
        <f t="shared" si="4"/>
        <v>503764.9424396992</v>
      </c>
      <c r="F38" s="107">
        <f t="shared" si="5"/>
        <v>-19200</v>
      </c>
      <c r="G38" s="47">
        <f t="shared" si="6"/>
        <v>1379.0656294798391</v>
      </c>
      <c r="H38" s="60">
        <f t="shared" si="7"/>
        <v>485944.00806917902</v>
      </c>
      <c r="J38" s="74">
        <f t="shared" si="0"/>
        <v>10</v>
      </c>
      <c r="K38" s="48">
        <f t="shared" si="8"/>
        <v>496406.31419510208</v>
      </c>
      <c r="L38" s="43">
        <f t="shared" si="1"/>
        <v>-18385.419044263046</v>
      </c>
      <c r="M38" s="75">
        <f t="shared" si="2"/>
        <v>478020.89515083906</v>
      </c>
      <c r="N38" s="32"/>
      <c r="O38" s="76">
        <f t="shared" si="9"/>
        <v>-192000</v>
      </c>
      <c r="P38" s="39">
        <f t="shared" si="9"/>
        <v>16068.922475709413</v>
      </c>
      <c r="Q38" s="88">
        <f t="shared" si="10"/>
        <v>183854.19044263047</v>
      </c>
      <c r="R38" s="87"/>
    </row>
    <row r="39" spans="1:18" x14ac:dyDescent="0.45">
      <c r="A39" s="3">
        <v>19200</v>
      </c>
      <c r="B39" s="103">
        <f>A39/((1+$F$16)^($F$12-11))</f>
        <v>17872.096468177235</v>
      </c>
      <c r="C39" s="19">
        <f t="shared" si="11"/>
        <v>44189</v>
      </c>
      <c r="D39" s="26">
        <f t="shared" si="3"/>
        <v>11</v>
      </c>
      <c r="E39" s="34">
        <f t="shared" si="4"/>
        <v>485944.00806917902</v>
      </c>
      <c r="F39" s="107">
        <f t="shared" si="5"/>
        <v>-19200</v>
      </c>
      <c r="G39" s="47">
        <f t="shared" si="6"/>
        <v>1327.9035318227652</v>
      </c>
      <c r="H39" s="60">
        <f t="shared" si="7"/>
        <v>468071.9116010018</v>
      </c>
      <c r="J39" s="74">
        <f t="shared" si="0"/>
        <v>11</v>
      </c>
      <c r="K39" s="48">
        <f t="shared" si="8"/>
        <v>478020.89515083906</v>
      </c>
      <c r="L39" s="43">
        <f t="shared" si="1"/>
        <v>-18385.419044263046</v>
      </c>
      <c r="M39" s="75">
        <f t="shared" si="2"/>
        <v>459635.47610657604</v>
      </c>
      <c r="N39" s="32"/>
      <c r="O39" s="76">
        <f t="shared" si="9"/>
        <v>-211200</v>
      </c>
      <c r="P39" s="39">
        <f t="shared" si="9"/>
        <v>17396.826007532178</v>
      </c>
      <c r="Q39" s="88">
        <f t="shared" si="10"/>
        <v>202239.60948689352</v>
      </c>
      <c r="R39" s="87"/>
    </row>
    <row r="40" spans="1:18" x14ac:dyDescent="0.45">
      <c r="A40" s="3">
        <v>19200</v>
      </c>
      <c r="B40" s="103">
        <f>A40/((1+$F$16)^($F$12-12))</f>
        <v>17923.405447034944</v>
      </c>
      <c r="C40" s="19">
        <f t="shared" si="11"/>
        <v>44220</v>
      </c>
      <c r="D40" s="26">
        <f t="shared" si="3"/>
        <v>12</v>
      </c>
      <c r="E40" s="34">
        <f t="shared" si="4"/>
        <v>468071.9116010018</v>
      </c>
      <c r="F40" s="107">
        <f t="shared" si="5"/>
        <v>-19200</v>
      </c>
      <c r="G40" s="47">
        <f t="shared" si="6"/>
        <v>1276.5945529650562</v>
      </c>
      <c r="H40" s="60">
        <f t="shared" si="7"/>
        <v>450148.50615396688</v>
      </c>
      <c r="J40" s="74">
        <f t="shared" si="0"/>
        <v>12</v>
      </c>
      <c r="K40" s="48">
        <f t="shared" si="8"/>
        <v>459635.47610657604</v>
      </c>
      <c r="L40" s="43">
        <f t="shared" si="1"/>
        <v>-18385.419044263046</v>
      </c>
      <c r="M40" s="75">
        <f t="shared" si="2"/>
        <v>441250.05706231302</v>
      </c>
      <c r="N40" s="32"/>
      <c r="O40" s="76">
        <f t="shared" si="9"/>
        <v>-230400</v>
      </c>
      <c r="P40" s="39">
        <f t="shared" si="9"/>
        <v>18673.420560497234</v>
      </c>
      <c r="Q40" s="88">
        <f t="shared" si="10"/>
        <v>220625.02853115657</v>
      </c>
      <c r="R40" s="87"/>
    </row>
    <row r="41" spans="1:18" x14ac:dyDescent="0.45">
      <c r="A41" s="3">
        <v>19320</v>
      </c>
      <c r="B41" s="103">
        <f>A41/((1+$F$16)^($F$12-13))</f>
        <v>18087.204614579161</v>
      </c>
      <c r="C41" s="19">
        <f t="shared" si="11"/>
        <v>44251</v>
      </c>
      <c r="D41" s="26">
        <f t="shared" si="3"/>
        <v>13</v>
      </c>
      <c r="E41" s="34">
        <f t="shared" si="4"/>
        <v>450148.50615396688</v>
      </c>
      <c r="F41" s="107">
        <f t="shared" si="5"/>
        <v>-19320</v>
      </c>
      <c r="G41" s="47">
        <f t="shared" si="6"/>
        <v>1232.795385420839</v>
      </c>
      <c r="H41" s="60">
        <f t="shared" si="7"/>
        <v>432061.30153938773</v>
      </c>
      <c r="J41" s="74">
        <f t="shared" si="0"/>
        <v>13</v>
      </c>
      <c r="K41" s="48">
        <f t="shared" si="8"/>
        <v>441250.05706231302</v>
      </c>
      <c r="L41" s="43">
        <f t="shared" ref="L41:L64" si="12">-$M$22/$F$12</f>
        <v>-18385.419044263046</v>
      </c>
      <c r="M41" s="75">
        <f t="shared" si="2"/>
        <v>422864.63801805</v>
      </c>
      <c r="N41" s="32"/>
      <c r="O41" s="76">
        <f t="shared" si="9"/>
        <v>-249720</v>
      </c>
      <c r="P41" s="39">
        <f t="shared" si="9"/>
        <v>19906.215945918073</v>
      </c>
      <c r="Q41" s="88">
        <f t="shared" si="10"/>
        <v>239010.44757541962</v>
      </c>
      <c r="R41" s="87"/>
    </row>
    <row r="42" spans="1:18" x14ac:dyDescent="0.45">
      <c r="A42" s="3">
        <v>19320</v>
      </c>
      <c r="B42" s="103">
        <f>A42/((1+$F$16)^($F$12-14))</f>
        <v>18139.131147138836</v>
      </c>
      <c r="C42" s="19">
        <f t="shared" si="11"/>
        <v>44279</v>
      </c>
      <c r="D42" s="26">
        <f t="shared" si="3"/>
        <v>14</v>
      </c>
      <c r="E42" s="34">
        <f t="shared" si="4"/>
        <v>432061.30153938773</v>
      </c>
      <c r="F42" s="107">
        <f t="shared" si="5"/>
        <v>-19320</v>
      </c>
      <c r="G42" s="47">
        <f t="shared" si="6"/>
        <v>1180.8688528611638</v>
      </c>
      <c r="H42" s="60">
        <f t="shared" si="7"/>
        <v>413922.1703922489</v>
      </c>
      <c r="J42" s="74">
        <f t="shared" si="0"/>
        <v>14</v>
      </c>
      <c r="K42" s="48">
        <f t="shared" si="8"/>
        <v>422864.63801805</v>
      </c>
      <c r="L42" s="43">
        <f t="shared" si="12"/>
        <v>-18385.419044263046</v>
      </c>
      <c r="M42" s="75">
        <f t="shared" si="2"/>
        <v>404479.21897378698</v>
      </c>
      <c r="N42" s="32"/>
      <c r="O42" s="76">
        <f t="shared" si="9"/>
        <v>-269040</v>
      </c>
      <c r="P42" s="39">
        <f t="shared" si="9"/>
        <v>21087.084798779237</v>
      </c>
      <c r="Q42" s="88">
        <f t="shared" si="10"/>
        <v>257395.86661968267</v>
      </c>
      <c r="R42" s="87"/>
    </row>
    <row r="43" spans="1:18" x14ac:dyDescent="0.45">
      <c r="A43" s="3">
        <v>19320</v>
      </c>
      <c r="B43" s="103">
        <f>A43/((1+$F$16)^($F$12-15))</f>
        <v>18191.206755514322</v>
      </c>
      <c r="C43" s="19">
        <f t="shared" si="11"/>
        <v>44310</v>
      </c>
      <c r="D43" s="26">
        <f t="shared" si="3"/>
        <v>15</v>
      </c>
      <c r="E43" s="34">
        <f t="shared" si="4"/>
        <v>413922.1703922489</v>
      </c>
      <c r="F43" s="107">
        <f t="shared" si="5"/>
        <v>-19320</v>
      </c>
      <c r="G43" s="47">
        <f t="shared" si="6"/>
        <v>1128.7932444856779</v>
      </c>
      <c r="H43" s="60">
        <f t="shared" si="7"/>
        <v>395730.96363673458</v>
      </c>
      <c r="J43" s="74">
        <f t="shared" si="0"/>
        <v>15</v>
      </c>
      <c r="K43" s="48">
        <f t="shared" si="8"/>
        <v>404479.21897378698</v>
      </c>
      <c r="L43" s="43">
        <f t="shared" si="12"/>
        <v>-18385.419044263046</v>
      </c>
      <c r="M43" s="75">
        <f t="shared" si="2"/>
        <v>386093.79992952396</v>
      </c>
      <c r="N43" s="32"/>
      <c r="O43" s="76">
        <f t="shared" si="9"/>
        <v>-288360</v>
      </c>
      <c r="P43" s="39">
        <f t="shared" si="9"/>
        <v>22215.878043264915</v>
      </c>
      <c r="Q43" s="88">
        <f t="shared" si="10"/>
        <v>275781.28566394572</v>
      </c>
      <c r="R43" s="87"/>
    </row>
    <row r="44" spans="1:18" x14ac:dyDescent="0.45">
      <c r="A44" s="3">
        <v>19320</v>
      </c>
      <c r="B44" s="103">
        <f>A44/((1+$F$16)^($F$12-16))</f>
        <v>18243.431867687184</v>
      </c>
      <c r="C44" s="19">
        <f t="shared" si="11"/>
        <v>44340</v>
      </c>
      <c r="D44" s="26">
        <f t="shared" si="3"/>
        <v>16</v>
      </c>
      <c r="E44" s="34">
        <f t="shared" si="4"/>
        <v>395730.96363673458</v>
      </c>
      <c r="F44" s="107">
        <f t="shared" si="5"/>
        <v>-19320</v>
      </c>
      <c r="G44" s="47">
        <f t="shared" si="6"/>
        <v>1076.5681323128156</v>
      </c>
      <c r="H44" s="60">
        <f t="shared" si="7"/>
        <v>377487.53176904737</v>
      </c>
      <c r="J44" s="74">
        <f t="shared" si="0"/>
        <v>16</v>
      </c>
      <c r="K44" s="48">
        <f t="shared" si="8"/>
        <v>386093.79992952396</v>
      </c>
      <c r="L44" s="43">
        <f t="shared" si="12"/>
        <v>-18385.419044263046</v>
      </c>
      <c r="M44" s="75">
        <f t="shared" si="2"/>
        <v>367708.38088526094</v>
      </c>
      <c r="N44" s="32"/>
      <c r="O44" s="76">
        <f t="shared" si="9"/>
        <v>-307680</v>
      </c>
      <c r="P44" s="39">
        <f t="shared" si="9"/>
        <v>23292.44617557773</v>
      </c>
      <c r="Q44" s="88">
        <f t="shared" si="10"/>
        <v>294166.70470820874</v>
      </c>
      <c r="R44" s="87"/>
    </row>
    <row r="45" spans="1:18" x14ac:dyDescent="0.45">
      <c r="A45" s="3">
        <v>19320</v>
      </c>
      <c r="B45" s="103">
        <f>A45/((1+$F$16)^($F$12-17))</f>
        <v>18295.806912867687</v>
      </c>
      <c r="C45" s="19">
        <f t="shared" si="11"/>
        <v>44371</v>
      </c>
      <c r="D45" s="26">
        <f t="shared" si="3"/>
        <v>17</v>
      </c>
      <c r="E45" s="34">
        <f t="shared" si="4"/>
        <v>377487.53176904737</v>
      </c>
      <c r="F45" s="107">
        <f t="shared" si="5"/>
        <v>-19320</v>
      </c>
      <c r="G45" s="47">
        <f t="shared" si="6"/>
        <v>1024.1930871323129</v>
      </c>
      <c r="H45" s="60">
        <f t="shared" si="7"/>
        <v>359191.72485617967</v>
      </c>
      <c r="J45" s="74">
        <f t="shared" si="0"/>
        <v>17</v>
      </c>
      <c r="K45" s="48">
        <f t="shared" si="8"/>
        <v>367708.38088526094</v>
      </c>
      <c r="L45" s="43">
        <f t="shared" si="12"/>
        <v>-18385.419044263046</v>
      </c>
      <c r="M45" s="75">
        <f t="shared" si="2"/>
        <v>349322.96184099792</v>
      </c>
      <c r="N45" s="32"/>
      <c r="O45" s="76">
        <f t="shared" si="9"/>
        <v>-327000</v>
      </c>
      <c r="P45" s="39">
        <f t="shared" si="9"/>
        <v>24316.639262710043</v>
      </c>
      <c r="Q45" s="88">
        <f t="shared" si="10"/>
        <v>312552.12375247176</v>
      </c>
      <c r="R45" s="87"/>
    </row>
    <row r="46" spans="1:18" x14ac:dyDescent="0.45">
      <c r="A46" s="3">
        <v>19320</v>
      </c>
      <c r="B46" s="103">
        <f>A46/((1+$F$16)^($F$12-18))</f>
        <v>18348.332321498314</v>
      </c>
      <c r="C46" s="19">
        <f t="shared" si="11"/>
        <v>44401</v>
      </c>
      <c r="D46" s="26">
        <f t="shared" si="3"/>
        <v>18</v>
      </c>
      <c r="E46" s="34">
        <f t="shared" si="4"/>
        <v>359191.72485617967</v>
      </c>
      <c r="F46" s="107">
        <f t="shared" si="5"/>
        <v>-19320</v>
      </c>
      <c r="G46" s="47">
        <f t="shared" si="6"/>
        <v>971.66767850168617</v>
      </c>
      <c r="H46" s="60">
        <f t="shared" si="7"/>
        <v>340843.39253468136</v>
      </c>
      <c r="J46" s="74">
        <f t="shared" si="0"/>
        <v>18</v>
      </c>
      <c r="K46" s="48">
        <f t="shared" si="8"/>
        <v>349322.96184099792</v>
      </c>
      <c r="L46" s="43">
        <f t="shared" si="12"/>
        <v>-18385.419044263046</v>
      </c>
      <c r="M46" s="75">
        <f t="shared" si="2"/>
        <v>330937.5427967349</v>
      </c>
      <c r="N46" s="32"/>
      <c r="O46" s="76">
        <f t="shared" ref="O46:P61" si="13">+O45+F46</f>
        <v>-346320</v>
      </c>
      <c r="P46" s="39">
        <f t="shared" si="13"/>
        <v>25288.306941211729</v>
      </c>
      <c r="Q46" s="88">
        <f t="shared" si="10"/>
        <v>330937.54279673478</v>
      </c>
      <c r="R46" s="87"/>
    </row>
    <row r="47" spans="1:18" x14ac:dyDescent="0.45">
      <c r="A47" s="3">
        <v>19320</v>
      </c>
      <c r="B47" s="103">
        <f>A47/((1+$F$16)^($F$12-19))</f>
        <v>18401.008525257294</v>
      </c>
      <c r="C47" s="19">
        <f t="shared" si="11"/>
        <v>44432</v>
      </c>
      <c r="D47" s="26">
        <f t="shared" si="3"/>
        <v>19</v>
      </c>
      <c r="E47" s="34">
        <f t="shared" si="4"/>
        <v>340843.39253468136</v>
      </c>
      <c r="F47" s="107">
        <f t="shared" si="5"/>
        <v>-19320</v>
      </c>
      <c r="G47" s="47">
        <f t="shared" si="6"/>
        <v>918.99147474270649</v>
      </c>
      <c r="H47" s="60">
        <f t="shared" si="7"/>
        <v>322442.38400942407</v>
      </c>
      <c r="J47" s="74">
        <f t="shared" si="0"/>
        <v>19</v>
      </c>
      <c r="K47" s="48">
        <f t="shared" si="8"/>
        <v>330937.5427967349</v>
      </c>
      <c r="L47" s="43">
        <f t="shared" si="12"/>
        <v>-18385.419044263046</v>
      </c>
      <c r="M47" s="75">
        <f t="shared" si="2"/>
        <v>312552.12375247187</v>
      </c>
      <c r="N47" s="32"/>
      <c r="O47" s="76">
        <f t="shared" si="13"/>
        <v>-365640</v>
      </c>
      <c r="P47" s="39">
        <f t="shared" si="13"/>
        <v>26207.298415954436</v>
      </c>
      <c r="Q47" s="88">
        <f t="shared" si="10"/>
        <v>349322.9618409978</v>
      </c>
      <c r="R47" s="87"/>
    </row>
    <row r="48" spans="1:18" x14ac:dyDescent="0.45">
      <c r="A48" s="3">
        <v>19320</v>
      </c>
      <c r="B48" s="103">
        <f>A48/((1+$F$16)^($F$12-20))</f>
        <v>18453.835957062172</v>
      </c>
      <c r="C48" s="19">
        <f t="shared" si="11"/>
        <v>44463</v>
      </c>
      <c r="D48" s="26">
        <f t="shared" si="3"/>
        <v>20</v>
      </c>
      <c r="E48" s="34">
        <f t="shared" si="4"/>
        <v>322442.38400942407</v>
      </c>
      <c r="F48" s="107">
        <f t="shared" si="5"/>
        <v>-19320</v>
      </c>
      <c r="G48" s="47">
        <f t="shared" si="6"/>
        <v>866.16404293782762</v>
      </c>
      <c r="H48" s="60">
        <f t="shared" si="7"/>
        <v>303988.54805236188</v>
      </c>
      <c r="J48" s="74">
        <f t="shared" si="0"/>
        <v>20</v>
      </c>
      <c r="K48" s="48">
        <f t="shared" si="8"/>
        <v>312552.12375247187</v>
      </c>
      <c r="L48" s="43">
        <f t="shared" si="12"/>
        <v>-18385.419044263046</v>
      </c>
      <c r="M48" s="75">
        <f t="shared" si="2"/>
        <v>294166.70470820885</v>
      </c>
      <c r="N48" s="32"/>
      <c r="O48" s="76">
        <f t="shared" si="13"/>
        <v>-384960</v>
      </c>
      <c r="P48" s="39">
        <f t="shared" si="13"/>
        <v>27073.462458892263</v>
      </c>
      <c r="Q48" s="88">
        <f t="shared" si="10"/>
        <v>367708.38088526082</v>
      </c>
      <c r="R48" s="87"/>
    </row>
    <row r="49" spans="1:18" x14ac:dyDescent="0.45">
      <c r="A49" s="3">
        <v>19320</v>
      </c>
      <c r="B49" s="103">
        <f>A49/((1+$F$16)^($F$12-21))</f>
        <v>18506.81505107335</v>
      </c>
      <c r="C49" s="19">
        <f t="shared" si="11"/>
        <v>44493</v>
      </c>
      <c r="D49" s="26">
        <f t="shared" si="3"/>
        <v>21</v>
      </c>
      <c r="E49" s="34">
        <f t="shared" si="4"/>
        <v>303988.54805236188</v>
      </c>
      <c r="F49" s="107">
        <f t="shared" si="5"/>
        <v>-19320</v>
      </c>
      <c r="G49" s="47">
        <f t="shared" si="6"/>
        <v>813.18494892664967</v>
      </c>
      <c r="H49" s="60">
        <f t="shared" si="7"/>
        <v>285481.73300128855</v>
      </c>
      <c r="J49" s="74">
        <f t="shared" si="0"/>
        <v>21</v>
      </c>
      <c r="K49" s="48">
        <f t="shared" si="8"/>
        <v>294166.70470820885</v>
      </c>
      <c r="L49" s="43">
        <f t="shared" si="12"/>
        <v>-18385.419044263046</v>
      </c>
      <c r="M49" s="75">
        <f t="shared" si="2"/>
        <v>275781.28566394583</v>
      </c>
      <c r="N49" s="80"/>
      <c r="O49" s="76">
        <f t="shared" si="13"/>
        <v>-404280</v>
      </c>
      <c r="P49" s="39">
        <f t="shared" si="13"/>
        <v>27886.647407818913</v>
      </c>
      <c r="Q49" s="88">
        <f t="shared" si="10"/>
        <v>386093.79992952384</v>
      </c>
      <c r="R49" s="87"/>
    </row>
    <row r="50" spans="1:18" x14ac:dyDescent="0.45">
      <c r="A50" s="3">
        <v>19320</v>
      </c>
      <c r="B50" s="103">
        <f>A50/((1+$F$16)^($F$12-22))</f>
        <v>18559.946242697668</v>
      </c>
      <c r="C50" s="19">
        <f t="shared" si="11"/>
        <v>44524</v>
      </c>
      <c r="D50" s="26">
        <f t="shared" si="3"/>
        <v>22</v>
      </c>
      <c r="E50" s="34">
        <f t="shared" si="4"/>
        <v>285481.73300128855</v>
      </c>
      <c r="F50" s="107">
        <f t="shared" si="5"/>
        <v>-19320</v>
      </c>
      <c r="G50" s="47">
        <f t="shared" si="6"/>
        <v>760.05375730233209</v>
      </c>
      <c r="H50" s="60">
        <f t="shared" si="7"/>
        <v>266921.7867585909</v>
      </c>
      <c r="J50" s="74">
        <f t="shared" si="0"/>
        <v>22</v>
      </c>
      <c r="K50" s="48">
        <f t="shared" si="8"/>
        <v>275781.28566394583</v>
      </c>
      <c r="L50" s="43">
        <f t="shared" si="12"/>
        <v>-18385.419044263046</v>
      </c>
      <c r="M50" s="75">
        <f t="shared" si="2"/>
        <v>257395.86661968278</v>
      </c>
      <c r="N50" s="32"/>
      <c r="O50" s="76">
        <f t="shared" si="13"/>
        <v>-423600</v>
      </c>
      <c r="P50" s="39">
        <f t="shared" si="13"/>
        <v>28646.701165121245</v>
      </c>
      <c r="Q50" s="88">
        <f t="shared" si="10"/>
        <v>404479.21897378686</v>
      </c>
      <c r="R50" s="32"/>
    </row>
    <row r="51" spans="1:18" x14ac:dyDescent="0.45">
      <c r="A51" s="3">
        <v>19320</v>
      </c>
      <c r="B51" s="103">
        <f>A51/((1+$F$16)^($F$12-23))</f>
        <v>18613.229968591961</v>
      </c>
      <c r="C51" s="19">
        <f t="shared" si="11"/>
        <v>44554</v>
      </c>
      <c r="D51" s="26">
        <f t="shared" si="3"/>
        <v>23</v>
      </c>
      <c r="E51" s="34">
        <f t="shared" si="4"/>
        <v>266921.7867585909</v>
      </c>
      <c r="F51" s="107">
        <f t="shared" si="5"/>
        <v>-19320</v>
      </c>
      <c r="G51" s="47">
        <f t="shared" si="6"/>
        <v>706.77003140803936</v>
      </c>
      <c r="H51" s="60">
        <f t="shared" si="7"/>
        <v>248308.55678999893</v>
      </c>
      <c r="J51" s="74">
        <f t="shared" si="0"/>
        <v>23</v>
      </c>
      <c r="K51" s="48">
        <f t="shared" si="8"/>
        <v>257395.86661968278</v>
      </c>
      <c r="L51" s="43">
        <f t="shared" si="12"/>
        <v>-18385.419044263046</v>
      </c>
      <c r="M51" s="75">
        <f t="shared" si="2"/>
        <v>239010.44757541973</v>
      </c>
      <c r="N51" s="32"/>
      <c r="O51" s="76">
        <f t="shared" si="13"/>
        <v>-442920</v>
      </c>
      <c r="P51" s="39">
        <f t="shared" si="13"/>
        <v>29353.471196529284</v>
      </c>
      <c r="Q51" s="88">
        <f t="shared" si="10"/>
        <v>422864.63801804988</v>
      </c>
      <c r="R51" s="32"/>
    </row>
    <row r="52" spans="1:18" x14ac:dyDescent="0.45">
      <c r="A52" s="3">
        <v>19320</v>
      </c>
      <c r="B52" s="103">
        <f>A52/((1+$F$16)^($F$12-24))</f>
        <v>18666.666666666668</v>
      </c>
      <c r="C52" s="19">
        <f t="shared" si="11"/>
        <v>44585</v>
      </c>
      <c r="D52" s="26">
        <f t="shared" si="3"/>
        <v>24</v>
      </c>
      <c r="E52" s="34">
        <f t="shared" si="4"/>
        <v>248308.55678999893</v>
      </c>
      <c r="F52" s="107">
        <f t="shared" si="5"/>
        <v>-19320</v>
      </c>
      <c r="G52" s="47">
        <f t="shared" si="6"/>
        <v>653.33333333333212</v>
      </c>
      <c r="H52" s="60">
        <f t="shared" si="7"/>
        <v>229641.89012333227</v>
      </c>
      <c r="J52" s="74">
        <f t="shared" si="0"/>
        <v>24</v>
      </c>
      <c r="K52" s="48">
        <f t="shared" si="8"/>
        <v>239010.44757541973</v>
      </c>
      <c r="L52" s="43">
        <f t="shared" si="12"/>
        <v>-18385.419044263046</v>
      </c>
      <c r="M52" s="75">
        <f t="shared" si="2"/>
        <v>220625.02853115668</v>
      </c>
      <c r="N52" s="32"/>
      <c r="O52" s="76">
        <f t="shared" si="13"/>
        <v>-462240</v>
      </c>
      <c r="P52" s="39">
        <f t="shared" si="13"/>
        <v>30006.804529862617</v>
      </c>
      <c r="Q52" s="88">
        <f t="shared" si="10"/>
        <v>441250.0570623129</v>
      </c>
      <c r="R52" s="32"/>
    </row>
    <row r="53" spans="1:18" x14ac:dyDescent="0.45">
      <c r="A53" s="3">
        <v>19440</v>
      </c>
      <c r="B53" s="103">
        <f>A53/((1+$F$16)^($F$12-25))</f>
        <v>18836.531662897443</v>
      </c>
      <c r="C53" s="19">
        <f t="shared" si="11"/>
        <v>44616</v>
      </c>
      <c r="D53" s="26">
        <f t="shared" si="3"/>
        <v>25</v>
      </c>
      <c r="E53" s="34">
        <f t="shared" si="4"/>
        <v>229641.89012333227</v>
      </c>
      <c r="F53" s="107">
        <f t="shared" si="5"/>
        <v>-19440</v>
      </c>
      <c r="G53" s="47">
        <f t="shared" si="6"/>
        <v>603.46833710255669</v>
      </c>
      <c r="H53" s="60">
        <f t="shared" si="7"/>
        <v>210805.35846043483</v>
      </c>
      <c r="J53" s="74">
        <f t="shared" si="0"/>
        <v>25</v>
      </c>
      <c r="K53" s="48">
        <f t="shared" si="8"/>
        <v>220625.02853115668</v>
      </c>
      <c r="L53" s="43">
        <f t="shared" si="12"/>
        <v>-18385.419044263046</v>
      </c>
      <c r="M53" s="75">
        <f t="shared" si="2"/>
        <v>202239.60948689363</v>
      </c>
      <c r="N53" s="32"/>
      <c r="O53" s="76">
        <f t="shared" si="13"/>
        <v>-481680</v>
      </c>
      <c r="P53" s="39">
        <f t="shared" si="13"/>
        <v>30610.272866965173</v>
      </c>
      <c r="Q53" s="88">
        <f t="shared" si="10"/>
        <v>459635.47610657592</v>
      </c>
      <c r="R53" s="32"/>
    </row>
    <row r="54" spans="1:18" x14ac:dyDescent="0.45">
      <c r="A54" s="3">
        <v>19440</v>
      </c>
      <c r="B54" s="103">
        <f>A54/((1+$F$16)^($F$12-26))</f>
        <v>18890.609437520299</v>
      </c>
      <c r="C54" s="19">
        <f t="shared" si="11"/>
        <v>44644</v>
      </c>
      <c r="D54" s="26">
        <f t="shared" si="3"/>
        <v>26</v>
      </c>
      <c r="E54" s="34">
        <f t="shared" si="4"/>
        <v>210805.35846043483</v>
      </c>
      <c r="F54" s="107">
        <f t="shared" si="5"/>
        <v>-19440</v>
      </c>
      <c r="G54" s="47">
        <f t="shared" si="6"/>
        <v>549.39056247970075</v>
      </c>
      <c r="H54" s="60">
        <f t="shared" si="7"/>
        <v>191914.74902291453</v>
      </c>
      <c r="J54" s="74">
        <f t="shared" si="0"/>
        <v>26</v>
      </c>
      <c r="K54" s="48">
        <f t="shared" si="8"/>
        <v>202239.60948689363</v>
      </c>
      <c r="L54" s="43">
        <f t="shared" si="12"/>
        <v>-18385.419044263046</v>
      </c>
      <c r="M54" s="75">
        <f t="shared" si="2"/>
        <v>183854.19044263058</v>
      </c>
      <c r="N54" s="32"/>
      <c r="O54" s="76">
        <f t="shared" si="13"/>
        <v>-501120</v>
      </c>
      <c r="P54" s="39">
        <f t="shared" si="13"/>
        <v>31159.663429444874</v>
      </c>
      <c r="Q54" s="88">
        <f t="shared" si="10"/>
        <v>478020.89515083894</v>
      </c>
      <c r="R54" s="32"/>
    </row>
    <row r="55" spans="1:18" x14ac:dyDescent="0.45">
      <c r="A55" s="3">
        <v>19440</v>
      </c>
      <c r="B55" s="103">
        <f>A55/((1+$F$16)^($F$12-27))</f>
        <v>18944.842463957051</v>
      </c>
      <c r="C55" s="19">
        <f t="shared" si="11"/>
        <v>44675</v>
      </c>
      <c r="D55" s="26">
        <f t="shared" si="3"/>
        <v>27</v>
      </c>
      <c r="E55" s="34">
        <f t="shared" si="4"/>
        <v>191914.74902291453</v>
      </c>
      <c r="F55" s="107">
        <f t="shared" si="5"/>
        <v>-19440</v>
      </c>
      <c r="G55" s="47">
        <f t="shared" si="6"/>
        <v>495.15753604294878</v>
      </c>
      <c r="H55" s="60">
        <f t="shared" si="7"/>
        <v>172969.90655895747</v>
      </c>
      <c r="J55" s="74">
        <f t="shared" si="0"/>
        <v>27</v>
      </c>
      <c r="K55" s="48">
        <f t="shared" si="8"/>
        <v>183854.19044263058</v>
      </c>
      <c r="L55" s="43">
        <f t="shared" si="12"/>
        <v>-18385.419044263046</v>
      </c>
      <c r="M55" s="75">
        <f t="shared" si="2"/>
        <v>165468.77139836753</v>
      </c>
      <c r="N55" s="32"/>
      <c r="O55" s="76">
        <f t="shared" si="13"/>
        <v>-520560</v>
      </c>
      <c r="P55" s="39">
        <f t="shared" si="13"/>
        <v>31654.820965487823</v>
      </c>
      <c r="Q55" s="88">
        <f t="shared" si="10"/>
        <v>496406.31419510196</v>
      </c>
      <c r="R55" s="32"/>
    </row>
    <row r="56" spans="1:18" x14ac:dyDescent="0.45">
      <c r="A56" s="3">
        <v>19440</v>
      </c>
      <c r="B56" s="103">
        <f>A56/((1+$F$16)^($F$12-28))</f>
        <v>18999.231187919937</v>
      </c>
      <c r="C56" s="19">
        <f t="shared" si="11"/>
        <v>44705</v>
      </c>
      <c r="D56" s="26">
        <f t="shared" si="3"/>
        <v>28</v>
      </c>
      <c r="E56" s="34">
        <f t="shared" si="4"/>
        <v>172969.90655895747</v>
      </c>
      <c r="F56" s="107">
        <f t="shared" si="5"/>
        <v>-19440</v>
      </c>
      <c r="G56" s="47">
        <f t="shared" si="6"/>
        <v>440.76881208006307</v>
      </c>
      <c r="H56" s="60">
        <f t="shared" si="7"/>
        <v>153970.67537103753</v>
      </c>
      <c r="J56" s="74">
        <f t="shared" si="0"/>
        <v>28</v>
      </c>
      <c r="K56" s="48">
        <f t="shared" si="8"/>
        <v>165468.77139836753</v>
      </c>
      <c r="L56" s="43">
        <f t="shared" si="12"/>
        <v>-18385.419044263046</v>
      </c>
      <c r="M56" s="75">
        <f t="shared" si="2"/>
        <v>147083.35235410449</v>
      </c>
      <c r="N56" s="32"/>
      <c r="O56" s="76">
        <f t="shared" si="13"/>
        <v>-540000</v>
      </c>
      <c r="P56" s="39">
        <f t="shared" si="13"/>
        <v>32095.589777567886</v>
      </c>
      <c r="Q56" s="88">
        <f t="shared" si="10"/>
        <v>514791.73323936498</v>
      </c>
      <c r="R56" s="32"/>
    </row>
    <row r="57" spans="1:18" x14ac:dyDescent="0.45">
      <c r="A57" s="3">
        <v>19440</v>
      </c>
      <c r="B57" s="103">
        <f>A57/((1+$F$16)^($F$12-29))</f>
        <v>19053.776056400773</v>
      </c>
      <c r="C57" s="19">
        <f t="shared" si="11"/>
        <v>44736</v>
      </c>
      <c r="D57" s="26">
        <f t="shared" si="3"/>
        <v>29</v>
      </c>
      <c r="E57" s="34">
        <f t="shared" si="4"/>
        <v>153970.67537103753</v>
      </c>
      <c r="F57" s="107">
        <f t="shared" si="5"/>
        <v>-19440</v>
      </c>
      <c r="G57" s="47">
        <f t="shared" si="6"/>
        <v>386.22394359922691</v>
      </c>
      <c r="H57" s="60">
        <f t="shared" si="7"/>
        <v>134916.89931463677</v>
      </c>
      <c r="J57" s="74">
        <f t="shared" si="0"/>
        <v>29</v>
      </c>
      <c r="K57" s="48">
        <f t="shared" si="8"/>
        <v>147083.35235410449</v>
      </c>
      <c r="L57" s="43">
        <f t="shared" si="12"/>
        <v>-18385.419044263046</v>
      </c>
      <c r="M57" s="75">
        <f t="shared" si="2"/>
        <v>128697.93330984144</v>
      </c>
      <c r="N57" s="32"/>
      <c r="O57" s="76">
        <f t="shared" si="13"/>
        <v>-559440</v>
      </c>
      <c r="P57" s="39">
        <f t="shared" si="13"/>
        <v>32481.813721167113</v>
      </c>
      <c r="Q57" s="88">
        <f t="shared" si="10"/>
        <v>533177.15228362801</v>
      </c>
      <c r="R57" s="32"/>
    </row>
    <row r="58" spans="1:18" x14ac:dyDescent="0.45">
      <c r="A58" s="3">
        <v>19440</v>
      </c>
      <c r="B58" s="103">
        <f>A58/((1+$F$16)^($F$12-30))</f>
        <v>19108.47751767467</v>
      </c>
      <c r="C58" s="19">
        <f t="shared" si="11"/>
        <v>44766</v>
      </c>
      <c r="D58" s="26">
        <f t="shared" si="3"/>
        <v>30</v>
      </c>
      <c r="E58" s="34">
        <f t="shared" si="4"/>
        <v>134916.89931463677</v>
      </c>
      <c r="F58" s="107">
        <f t="shared" si="5"/>
        <v>-19440</v>
      </c>
      <c r="G58" s="47">
        <f t="shared" si="6"/>
        <v>331.5224823253302</v>
      </c>
      <c r="H58" s="60">
        <f t="shared" si="7"/>
        <v>115808.42179696209</v>
      </c>
      <c r="J58" s="74">
        <f t="shared" si="0"/>
        <v>30</v>
      </c>
      <c r="K58" s="48">
        <f t="shared" si="8"/>
        <v>128697.93330984144</v>
      </c>
      <c r="L58" s="43">
        <f t="shared" si="12"/>
        <v>-18385.419044263046</v>
      </c>
      <c r="M58" s="75">
        <f t="shared" si="2"/>
        <v>110312.51426557839</v>
      </c>
      <c r="N58" s="32"/>
      <c r="O58" s="76">
        <f t="shared" si="13"/>
        <v>-578880</v>
      </c>
      <c r="P58" s="39">
        <f t="shared" si="13"/>
        <v>32813.336203492443</v>
      </c>
      <c r="Q58" s="88">
        <f t="shared" si="10"/>
        <v>551562.57132789108</v>
      </c>
      <c r="R58" s="32"/>
    </row>
    <row r="59" spans="1:18" x14ac:dyDescent="0.45">
      <c r="A59" s="3">
        <v>19440</v>
      </c>
      <c r="B59" s="103">
        <f>A59/((1+$F$16)^($F$12-31))</f>
        <v>19163.336021303665</v>
      </c>
      <c r="C59" s="19">
        <f t="shared" si="11"/>
        <v>44797</v>
      </c>
      <c r="D59" s="26">
        <f t="shared" si="3"/>
        <v>31</v>
      </c>
      <c r="E59" s="34">
        <f t="shared" si="4"/>
        <v>115808.42179696209</v>
      </c>
      <c r="F59" s="107">
        <f t="shared" si="5"/>
        <v>-19440</v>
      </c>
      <c r="G59" s="47">
        <f t="shared" si="6"/>
        <v>276.66397869633511</v>
      </c>
      <c r="H59" s="60">
        <f t="shared" si="7"/>
        <v>96645.08577565843</v>
      </c>
      <c r="J59" s="74">
        <f t="shared" si="0"/>
        <v>31</v>
      </c>
      <c r="K59" s="48">
        <f t="shared" si="8"/>
        <v>110312.51426557839</v>
      </c>
      <c r="L59" s="43">
        <f t="shared" si="12"/>
        <v>-18385.419044263046</v>
      </c>
      <c r="M59" s="75">
        <f t="shared" si="2"/>
        <v>91927.095221315336</v>
      </c>
      <c r="N59" s="32"/>
      <c r="O59" s="76">
        <f t="shared" si="13"/>
        <v>-598320</v>
      </c>
      <c r="P59" s="39">
        <f t="shared" si="13"/>
        <v>33090.000182188778</v>
      </c>
      <c r="Q59" s="88">
        <f t="shared" si="10"/>
        <v>569947.99037215416</v>
      </c>
      <c r="R59" s="32"/>
    </row>
    <row r="60" spans="1:18" x14ac:dyDescent="0.45">
      <c r="A60" s="3">
        <v>19440</v>
      </c>
      <c r="B60" s="103">
        <f>A60/((1+$F$16)^($F$12-32))</f>
        <v>19218.352018140464</v>
      </c>
      <c r="C60" s="19">
        <f t="shared" si="11"/>
        <v>44828</v>
      </c>
      <c r="D60" s="26">
        <f t="shared" si="3"/>
        <v>32</v>
      </c>
      <c r="E60" s="34">
        <f t="shared" si="4"/>
        <v>96645.08577565843</v>
      </c>
      <c r="F60" s="107">
        <f t="shared" si="5"/>
        <v>-19440</v>
      </c>
      <c r="G60" s="47">
        <f t="shared" si="6"/>
        <v>221.64798185953623</v>
      </c>
      <c r="H60" s="60">
        <f t="shared" si="7"/>
        <v>77426.73375751797</v>
      </c>
      <c r="J60" s="74">
        <f t="shared" si="0"/>
        <v>32</v>
      </c>
      <c r="K60" s="48">
        <f t="shared" si="8"/>
        <v>91927.095221315336</v>
      </c>
      <c r="L60" s="43">
        <f t="shared" si="12"/>
        <v>-18385.419044263046</v>
      </c>
      <c r="M60" s="75">
        <f t="shared" si="2"/>
        <v>73541.676177052286</v>
      </c>
      <c r="N60" s="32"/>
      <c r="O60" s="76">
        <f t="shared" si="13"/>
        <v>-617760</v>
      </c>
      <c r="P60" s="39">
        <f t="shared" si="13"/>
        <v>33311.648164048311</v>
      </c>
      <c r="Q60" s="88">
        <f t="shared" si="10"/>
        <v>588333.40941641724</v>
      </c>
      <c r="R60" s="32"/>
    </row>
    <row r="61" spans="1:18" x14ac:dyDescent="0.45">
      <c r="A61" s="3">
        <v>19440</v>
      </c>
      <c r="B61" s="103">
        <f>A61/((1+$F$16)^($F$12-33))</f>
        <v>19273.525960332103</v>
      </c>
      <c r="C61" s="19">
        <f t="shared" si="11"/>
        <v>44858</v>
      </c>
      <c r="D61" s="26">
        <f t="shared" si="3"/>
        <v>33</v>
      </c>
      <c r="E61" s="34">
        <f t="shared" si="4"/>
        <v>77426.73375751797</v>
      </c>
      <c r="F61" s="107">
        <f t="shared" si="5"/>
        <v>-19440</v>
      </c>
      <c r="G61" s="47">
        <f t="shared" si="6"/>
        <v>166.47403966789716</v>
      </c>
      <c r="H61" s="60">
        <f t="shared" si="7"/>
        <v>58153.207797185867</v>
      </c>
      <c r="J61" s="74">
        <f t="shared" si="0"/>
        <v>33</v>
      </c>
      <c r="K61" s="48">
        <f t="shared" si="8"/>
        <v>73541.676177052286</v>
      </c>
      <c r="L61" s="43">
        <f t="shared" si="12"/>
        <v>-18385.419044263046</v>
      </c>
      <c r="M61" s="75">
        <f t="shared" si="2"/>
        <v>55156.257132789236</v>
      </c>
      <c r="N61" s="32"/>
      <c r="O61" s="76">
        <f t="shared" si="13"/>
        <v>-637200</v>
      </c>
      <c r="P61" s="39">
        <f t="shared" si="13"/>
        <v>33478.122203716208</v>
      </c>
      <c r="Q61" s="88">
        <f t="shared" si="10"/>
        <v>606718.82846068032</v>
      </c>
      <c r="R61" s="32"/>
    </row>
    <row r="62" spans="1:18" x14ac:dyDescent="0.45">
      <c r="A62" s="3">
        <v>19440</v>
      </c>
      <c r="B62" s="103">
        <f>A62/((1+$F$16)^($F$12-34))</f>
        <v>19328.858301323711</v>
      </c>
      <c r="C62" s="19">
        <f t="shared" si="11"/>
        <v>44889</v>
      </c>
      <c r="D62" s="26">
        <f t="shared" si="3"/>
        <v>34</v>
      </c>
      <c r="E62" s="34">
        <f t="shared" si="4"/>
        <v>58153.207797185867</v>
      </c>
      <c r="F62" s="107">
        <f t="shared" si="5"/>
        <v>-19440</v>
      </c>
      <c r="G62" s="47">
        <f t="shared" si="6"/>
        <v>111.1416986762888</v>
      </c>
      <c r="H62" s="60">
        <f t="shared" si="7"/>
        <v>38824.34949586216</v>
      </c>
      <c r="J62" s="74">
        <f t="shared" si="0"/>
        <v>34</v>
      </c>
      <c r="K62" s="48">
        <f t="shared" si="8"/>
        <v>55156.257132789236</v>
      </c>
      <c r="L62" s="43">
        <f t="shared" si="12"/>
        <v>-18385.419044263046</v>
      </c>
      <c r="M62" s="75">
        <f t="shared" si="2"/>
        <v>36770.838088526187</v>
      </c>
      <c r="N62" s="32"/>
      <c r="O62" s="76">
        <f t="shared" ref="O62:P64" si="14">+O61+F62</f>
        <v>-656640</v>
      </c>
      <c r="P62" s="39">
        <f t="shared" si="14"/>
        <v>33589.2639023925</v>
      </c>
      <c r="Q62" s="88">
        <f t="shared" si="10"/>
        <v>625104.2475049434</v>
      </c>
      <c r="R62" s="32"/>
    </row>
    <row r="63" spans="1:18" x14ac:dyDescent="0.45">
      <c r="A63" s="3">
        <v>19440</v>
      </c>
      <c r="B63" s="103">
        <f>A63/((1+$F$16)^($F$12-35))</f>
        <v>19384.349495862196</v>
      </c>
      <c r="C63" s="19">
        <f t="shared" si="11"/>
        <v>44919</v>
      </c>
      <c r="D63" s="26">
        <f t="shared" si="3"/>
        <v>35</v>
      </c>
      <c r="E63" s="34">
        <f t="shared" si="4"/>
        <v>38824.34949586216</v>
      </c>
      <c r="F63" s="107">
        <f t="shared" si="5"/>
        <v>-19440</v>
      </c>
      <c r="G63" s="47">
        <f t="shared" si="6"/>
        <v>55.650504137804091</v>
      </c>
      <c r="H63" s="60">
        <f t="shared" si="7"/>
        <v>19439.999999999964</v>
      </c>
      <c r="J63" s="74">
        <f t="shared" si="0"/>
        <v>35</v>
      </c>
      <c r="K63" s="48">
        <f t="shared" si="8"/>
        <v>36770.838088526187</v>
      </c>
      <c r="L63" s="43">
        <f t="shared" si="12"/>
        <v>-18385.419044263046</v>
      </c>
      <c r="M63" s="75">
        <f t="shared" si="2"/>
        <v>18385.419044263141</v>
      </c>
      <c r="N63" s="32"/>
      <c r="O63" s="76">
        <f t="shared" si="14"/>
        <v>-676080</v>
      </c>
      <c r="P63" s="39">
        <f t="shared" si="14"/>
        <v>33644.914406530304</v>
      </c>
      <c r="Q63" s="88">
        <f t="shared" si="10"/>
        <v>643489.66654920648</v>
      </c>
      <c r="R63" s="32"/>
    </row>
    <row r="64" spans="1:18" x14ac:dyDescent="0.45">
      <c r="A64" s="3">
        <v>19440</v>
      </c>
      <c r="B64" s="103">
        <f>A64/((1+$F$16)^($F$12-36))</f>
        <v>19440</v>
      </c>
      <c r="C64" s="19">
        <f t="shared" si="11"/>
        <v>44950</v>
      </c>
      <c r="D64" s="26">
        <f t="shared" si="3"/>
        <v>36</v>
      </c>
      <c r="E64" s="34">
        <f t="shared" si="4"/>
        <v>19439.999999999964</v>
      </c>
      <c r="F64" s="107">
        <f t="shared" si="5"/>
        <v>-19440</v>
      </c>
      <c r="G64" s="47">
        <f t="shared" si="6"/>
        <v>0</v>
      </c>
      <c r="H64" s="60">
        <f t="shared" si="7"/>
        <v>-3.637978807091713E-11</v>
      </c>
      <c r="J64" s="74">
        <f t="shared" si="0"/>
        <v>36</v>
      </c>
      <c r="K64" s="48">
        <f t="shared" si="8"/>
        <v>18385.419044263141</v>
      </c>
      <c r="L64" s="43">
        <f t="shared" si="12"/>
        <v>-18385.419044263046</v>
      </c>
      <c r="M64" s="75">
        <f t="shared" si="2"/>
        <v>9.4587448984384537E-11</v>
      </c>
      <c r="N64" s="32"/>
      <c r="O64" s="76">
        <f t="shared" si="14"/>
        <v>-695520</v>
      </c>
      <c r="P64" s="39">
        <f t="shared" si="14"/>
        <v>33644.914406530304</v>
      </c>
      <c r="Q64" s="88">
        <f t="shared" si="10"/>
        <v>661875.08559346956</v>
      </c>
      <c r="R64" s="32"/>
    </row>
    <row r="65" spans="2:18" x14ac:dyDescent="0.45">
      <c r="B65" s="7"/>
      <c r="C65" s="19">
        <f t="shared" si="11"/>
        <v>44981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45009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45040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45070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45101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45131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45162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45193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45223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45254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45284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45315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45346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45375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45406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45436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45467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45497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45528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45559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45589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45620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45650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45681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45712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45740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45771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45801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45832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45862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5">DATE(YEAR(C94),MONTH(C94)+1,DAY(C94))</f>
        <v>45893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5"/>
        <v>45924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5"/>
        <v>45954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5"/>
        <v>45985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5"/>
        <v>46015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5"/>
        <v>46046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5"/>
        <v>46077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5"/>
        <v>46105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5"/>
        <v>46136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5"/>
        <v>46166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5"/>
        <v>46197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5"/>
        <v>46227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5"/>
        <v>46258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-695520</v>
      </c>
      <c r="G110" s="43">
        <f>SUM(G29:G107)</f>
        <v>33644.914406530304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459635.47610657604</v>
      </c>
      <c r="G116" s="119">
        <f>INDEX(M:M,MATCH(DATE(2021,12,DAY(D10)),C:C))</f>
        <v>239010.44757541973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-219763.35481100288</v>
      </c>
      <c r="G119" s="113">
        <f ca="1">IFERROR(SUM(INDIRECT("F"&amp;MATCH(DATE(2022,1,DAY(D10)),C:C)):INDIRECT("G"&amp;MATCH(DATE(2022,1,DAY(D10)),C:C)+11)),VALUE("0"))</f>
        <v>-228868.55678999901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-248308.55678999901</v>
      </c>
      <c r="G123" s="113">
        <f ca="1">IFERROR(SUM(INDIRECT("F"&amp;MATCH(DATE(2023,1,DAY(D10)),C:C)):G107),VALUE("0"))</f>
        <v>-19440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-233160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-19440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698E7-7DB8-43DC-98F8-7339A3D3C910}">
  <dimension ref="A1:R130"/>
  <sheetViews>
    <sheetView topLeftCell="A112" zoomScale="85" zoomScaleNormal="85" workbookViewId="0">
      <selection activeCell="F116" sqref="F116"/>
    </sheetView>
  </sheetViews>
  <sheetFormatPr defaultRowHeight="14.25" x14ac:dyDescent="0.45"/>
  <cols>
    <col min="1" max="1" width="12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112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44075</v>
      </c>
      <c r="E10" s="12">
        <f>VLOOKUP($C$2,'Lease Summary'!D:H,4,FALSE)</f>
        <v>45169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21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786909.79776910774</v>
      </c>
      <c r="J22" s="17" t="s">
        <v>234</v>
      </c>
      <c r="K22" s="22"/>
      <c r="L22" s="7"/>
      <c r="M22" s="65">
        <f>H22</f>
        <v>786909.79776910774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786909.79776910774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v>19982.330000000002</v>
      </c>
      <c r="B29" s="103">
        <f>A29/((1+$F$16)^($F$12-1))</f>
        <v>18074.658754465534</v>
      </c>
      <c r="C29" s="19">
        <f>D10</f>
        <v>44075</v>
      </c>
      <c r="D29" s="27">
        <v>1</v>
      </c>
      <c r="E29" s="33">
        <f>A28</f>
        <v>786909.79776910774</v>
      </c>
      <c r="F29" s="106">
        <f>-A29</f>
        <v>-19982.330000000002</v>
      </c>
      <c r="G29" s="46">
        <f>A29-B29</f>
        <v>1907.6712455344677</v>
      </c>
      <c r="H29" s="59">
        <f>SUM(E29:G29)</f>
        <v>768835.13901464222</v>
      </c>
      <c r="J29" s="69">
        <f t="shared" ref="J29:J64" si="0">D29</f>
        <v>1</v>
      </c>
      <c r="K29" s="70">
        <f>M22</f>
        <v>786909.79776910774</v>
      </c>
      <c r="L29" s="42">
        <f t="shared" ref="L29:L40" si="1">-$M$22/$F$12</f>
        <v>-21858.605493586325</v>
      </c>
      <c r="M29" s="71">
        <f t="shared" ref="M29:M64" si="2">K29+L29</f>
        <v>765051.19227552146</v>
      </c>
      <c r="N29" s="32"/>
      <c r="O29" s="72">
        <f>+F29</f>
        <v>-19982.330000000002</v>
      </c>
      <c r="P29" s="73">
        <f>+G29</f>
        <v>1907.6712455344677</v>
      </c>
      <c r="Q29" s="71">
        <f>-L29</f>
        <v>21858.605493586325</v>
      </c>
      <c r="R29" s="85"/>
    </row>
    <row r="30" spans="1:18" x14ac:dyDescent="0.45">
      <c r="A30" s="3">
        <v>19982.330000000002</v>
      </c>
      <c r="B30" s="103">
        <f>A30/((1+$F$16)^($F$12-2))</f>
        <v>18126.549269131479</v>
      </c>
      <c r="C30" s="19">
        <f>DATE(YEAR(C29),MONTH(C29)+1,DAY(C29))</f>
        <v>44105</v>
      </c>
      <c r="D30" s="26">
        <f t="shared" ref="D30:D64" si="3">D29+1</f>
        <v>2</v>
      </c>
      <c r="E30" s="34">
        <f t="shared" ref="E30:E64" si="4">H29</f>
        <v>768835.13901464222</v>
      </c>
      <c r="F30" s="107">
        <f t="shared" ref="F30:F64" si="5">-A30</f>
        <v>-19982.330000000002</v>
      </c>
      <c r="G30" s="47">
        <f t="shared" ref="G30:G64" si="6">A30-B30</f>
        <v>1855.7807308685224</v>
      </c>
      <c r="H30" s="60">
        <f t="shared" ref="H30:H64" si="7">SUM(E30:G30)</f>
        <v>750708.58974551084</v>
      </c>
      <c r="J30" s="74">
        <f t="shared" si="0"/>
        <v>2</v>
      </c>
      <c r="K30" s="48">
        <f t="shared" ref="K30:K64" si="8">M29</f>
        <v>765051.19227552146</v>
      </c>
      <c r="L30" s="43">
        <f t="shared" si="1"/>
        <v>-21858.605493586325</v>
      </c>
      <c r="M30" s="75">
        <f t="shared" si="2"/>
        <v>743192.58678193518</v>
      </c>
      <c r="N30" s="32"/>
      <c r="O30" s="76">
        <f t="shared" ref="O30:P45" si="9">+O29+F30</f>
        <v>-39964.660000000003</v>
      </c>
      <c r="P30" s="77">
        <f t="shared" si="9"/>
        <v>3763.4519764029901</v>
      </c>
      <c r="Q30" s="75">
        <f t="shared" ref="Q30:Q64" si="10">+Q29-L30</f>
        <v>43717.21098717265</v>
      </c>
      <c r="R30" s="86"/>
    </row>
    <row r="31" spans="1:18" x14ac:dyDescent="0.45">
      <c r="A31" s="3">
        <v>19982.330000000002</v>
      </c>
      <c r="B31" s="103">
        <f>A31/((1+$F$16)^($F$12-3))</f>
        <v>18178.588756209505</v>
      </c>
      <c r="C31" s="19">
        <f t="shared" ref="C31:C94" si="11">DATE(YEAR(C30),MONTH(C30)+1,DAY(C30))</f>
        <v>44136</v>
      </c>
      <c r="D31" s="26">
        <f t="shared" si="3"/>
        <v>3</v>
      </c>
      <c r="E31" s="34">
        <f t="shared" si="4"/>
        <v>750708.58974551084</v>
      </c>
      <c r="F31" s="107">
        <f t="shared" si="5"/>
        <v>-19982.330000000002</v>
      </c>
      <c r="G31" s="47">
        <f t="shared" si="6"/>
        <v>1803.7412437904968</v>
      </c>
      <c r="H31" s="60">
        <f t="shared" si="7"/>
        <v>732530.00098930136</v>
      </c>
      <c r="J31" s="74">
        <f t="shared" si="0"/>
        <v>3</v>
      </c>
      <c r="K31" s="48">
        <f t="shared" si="8"/>
        <v>743192.58678193518</v>
      </c>
      <c r="L31" s="43">
        <f t="shared" si="1"/>
        <v>-21858.605493586325</v>
      </c>
      <c r="M31" s="75">
        <f t="shared" si="2"/>
        <v>721333.98128834891</v>
      </c>
      <c r="N31" s="32"/>
      <c r="O31" s="76">
        <f t="shared" si="9"/>
        <v>-59946.990000000005</v>
      </c>
      <c r="P31" s="39">
        <f t="shared" si="9"/>
        <v>5567.1932201934869</v>
      </c>
      <c r="Q31" s="88">
        <f t="shared" si="10"/>
        <v>65575.816480758978</v>
      </c>
      <c r="R31" s="86"/>
    </row>
    <row r="32" spans="1:18" x14ac:dyDescent="0.45">
      <c r="A32" s="3">
        <v>19982.330000000002</v>
      </c>
      <c r="B32" s="103">
        <f>A32/((1+$F$16)^($F$12-4))</f>
        <v>18230.777643384328</v>
      </c>
      <c r="C32" s="19">
        <f t="shared" si="11"/>
        <v>44166</v>
      </c>
      <c r="D32" s="26">
        <f t="shared" si="3"/>
        <v>4</v>
      </c>
      <c r="E32" s="34">
        <f t="shared" si="4"/>
        <v>732530.00098930136</v>
      </c>
      <c r="F32" s="107">
        <f t="shared" si="5"/>
        <v>-19982.330000000002</v>
      </c>
      <c r="G32" s="47">
        <f t="shared" si="6"/>
        <v>1751.5523566156735</v>
      </c>
      <c r="H32" s="60">
        <f t="shared" si="7"/>
        <v>714299.22334591707</v>
      </c>
      <c r="J32" s="74">
        <f t="shared" si="0"/>
        <v>4</v>
      </c>
      <c r="K32" s="48">
        <f t="shared" si="8"/>
        <v>721333.98128834891</v>
      </c>
      <c r="L32" s="43">
        <f t="shared" si="1"/>
        <v>-21858.605493586325</v>
      </c>
      <c r="M32" s="75">
        <f t="shared" si="2"/>
        <v>699475.37579476263</v>
      </c>
      <c r="N32" s="32"/>
      <c r="O32" s="76">
        <f t="shared" si="9"/>
        <v>-79929.320000000007</v>
      </c>
      <c r="P32" s="39">
        <f t="shared" si="9"/>
        <v>7318.7455768091604</v>
      </c>
      <c r="Q32" s="88">
        <f t="shared" si="10"/>
        <v>87434.4219743453</v>
      </c>
      <c r="R32" s="86"/>
    </row>
    <row r="33" spans="1:18" x14ac:dyDescent="0.45">
      <c r="A33" s="3">
        <v>19982.330000000002</v>
      </c>
      <c r="B33" s="103">
        <f>A33/((1+$F$16)^($F$12-5))</f>
        <v>18283.116359568488</v>
      </c>
      <c r="C33" s="19">
        <f t="shared" si="11"/>
        <v>44197</v>
      </c>
      <c r="D33" s="26">
        <f t="shared" si="3"/>
        <v>5</v>
      </c>
      <c r="E33" s="34">
        <f t="shared" si="4"/>
        <v>714299.22334591707</v>
      </c>
      <c r="F33" s="107">
        <f t="shared" si="5"/>
        <v>-19982.330000000002</v>
      </c>
      <c r="G33" s="47">
        <f t="shared" si="6"/>
        <v>1699.2136404315133</v>
      </c>
      <c r="H33" s="60">
        <f t="shared" si="7"/>
        <v>696016.10698634863</v>
      </c>
      <c r="J33" s="74">
        <f t="shared" si="0"/>
        <v>5</v>
      </c>
      <c r="K33" s="48">
        <f t="shared" si="8"/>
        <v>699475.37579476263</v>
      </c>
      <c r="L33" s="43">
        <f t="shared" si="1"/>
        <v>-21858.605493586325</v>
      </c>
      <c r="M33" s="75">
        <f t="shared" si="2"/>
        <v>677616.77030117635</v>
      </c>
      <c r="N33" s="32"/>
      <c r="O33" s="76">
        <f t="shared" si="9"/>
        <v>-99911.650000000009</v>
      </c>
      <c r="P33" s="39">
        <f t="shared" si="9"/>
        <v>9017.9592172406738</v>
      </c>
      <c r="Q33" s="88">
        <f t="shared" si="10"/>
        <v>109293.02746793162</v>
      </c>
      <c r="R33" s="86"/>
    </row>
    <row r="34" spans="1:18" x14ac:dyDescent="0.45">
      <c r="A34" s="3">
        <v>19982.330000000002</v>
      </c>
      <c r="B34" s="103">
        <f>A34/((1+$F$16)^($F$12-6))</f>
        <v>18335.605334905904</v>
      </c>
      <c r="C34" s="19">
        <f t="shared" si="11"/>
        <v>44228</v>
      </c>
      <c r="D34" s="26">
        <f t="shared" si="3"/>
        <v>6</v>
      </c>
      <c r="E34" s="34">
        <f t="shared" si="4"/>
        <v>696016.10698634863</v>
      </c>
      <c r="F34" s="107">
        <f t="shared" si="5"/>
        <v>-19982.330000000002</v>
      </c>
      <c r="G34" s="47">
        <f t="shared" si="6"/>
        <v>1646.7246650940979</v>
      </c>
      <c r="H34" s="60">
        <f t="shared" si="7"/>
        <v>677680.50165144273</v>
      </c>
      <c r="J34" s="74">
        <f t="shared" si="0"/>
        <v>6</v>
      </c>
      <c r="K34" s="48">
        <f t="shared" si="8"/>
        <v>677616.77030117635</v>
      </c>
      <c r="L34" s="43">
        <f t="shared" si="1"/>
        <v>-21858.605493586325</v>
      </c>
      <c r="M34" s="75">
        <f t="shared" si="2"/>
        <v>655758.16480759007</v>
      </c>
      <c r="N34" s="32"/>
      <c r="O34" s="76">
        <f t="shared" si="9"/>
        <v>-119893.98000000001</v>
      </c>
      <c r="P34" s="39">
        <f t="shared" si="9"/>
        <v>10664.683882334772</v>
      </c>
      <c r="Q34" s="88">
        <f t="shared" si="10"/>
        <v>131151.63296151796</v>
      </c>
      <c r="R34" s="86"/>
    </row>
    <row r="35" spans="1:18" x14ac:dyDescent="0.45">
      <c r="A35" s="3">
        <v>19982.330000000002</v>
      </c>
      <c r="B35" s="103">
        <f>A35/((1+$F$16)^($F$12-7))</f>
        <v>18388.245000775383</v>
      </c>
      <c r="C35" s="19">
        <f t="shared" si="11"/>
        <v>44256</v>
      </c>
      <c r="D35" s="26">
        <f t="shared" si="3"/>
        <v>7</v>
      </c>
      <c r="E35" s="34">
        <f t="shared" si="4"/>
        <v>677680.50165144273</v>
      </c>
      <c r="F35" s="107">
        <f t="shared" si="5"/>
        <v>-19982.330000000002</v>
      </c>
      <c r="G35" s="47">
        <f t="shared" si="6"/>
        <v>1594.0849992246185</v>
      </c>
      <c r="H35" s="60">
        <f t="shared" si="7"/>
        <v>659292.2566506674</v>
      </c>
      <c r="J35" s="74">
        <f t="shared" si="0"/>
        <v>7</v>
      </c>
      <c r="K35" s="48">
        <f t="shared" si="8"/>
        <v>655758.16480759007</v>
      </c>
      <c r="L35" s="43">
        <f t="shared" si="1"/>
        <v>-21858.605493586325</v>
      </c>
      <c r="M35" s="75">
        <f t="shared" si="2"/>
        <v>633899.5593140038</v>
      </c>
      <c r="N35" s="32"/>
      <c r="O35" s="76">
        <f t="shared" si="9"/>
        <v>-139876.31</v>
      </c>
      <c r="P35" s="39">
        <f t="shared" si="9"/>
        <v>12258.76888155939</v>
      </c>
      <c r="Q35" s="88">
        <f t="shared" si="10"/>
        <v>153010.23845510429</v>
      </c>
      <c r="R35" s="86"/>
    </row>
    <row r="36" spans="1:18" x14ac:dyDescent="0.45">
      <c r="A36" s="3">
        <v>19982.330000000002</v>
      </c>
      <c r="B36" s="103">
        <f>A36/((1+$F$16)^($F$12-8))</f>
        <v>18441.035789794172</v>
      </c>
      <c r="C36" s="19">
        <f t="shared" si="11"/>
        <v>44287</v>
      </c>
      <c r="D36" s="26">
        <f t="shared" si="3"/>
        <v>8</v>
      </c>
      <c r="E36" s="34">
        <f t="shared" si="4"/>
        <v>659292.2566506674</v>
      </c>
      <c r="F36" s="107">
        <f t="shared" si="5"/>
        <v>-19982.330000000002</v>
      </c>
      <c r="G36" s="47">
        <f t="shared" si="6"/>
        <v>1541.2942102058296</v>
      </c>
      <c r="H36" s="60">
        <f t="shared" si="7"/>
        <v>640851.22086087323</v>
      </c>
      <c r="J36" s="74">
        <f t="shared" si="0"/>
        <v>8</v>
      </c>
      <c r="K36" s="48">
        <f t="shared" si="8"/>
        <v>633899.5593140038</v>
      </c>
      <c r="L36" s="43">
        <f t="shared" si="1"/>
        <v>-21858.605493586325</v>
      </c>
      <c r="M36" s="75">
        <f t="shared" si="2"/>
        <v>612040.95382041752</v>
      </c>
      <c r="N36" s="32"/>
      <c r="O36" s="76">
        <f t="shared" si="9"/>
        <v>-159858.64000000001</v>
      </c>
      <c r="P36" s="39">
        <f t="shared" si="9"/>
        <v>13800.06309176522</v>
      </c>
      <c r="Q36" s="88">
        <f t="shared" si="10"/>
        <v>174868.84394869063</v>
      </c>
      <c r="R36" s="86"/>
    </row>
    <row r="37" spans="1:18" x14ac:dyDescent="0.45">
      <c r="A37" s="3">
        <v>19982.330000000002</v>
      </c>
      <c r="B37" s="103">
        <f>A37/((1+$F$16)^($F$12-9))</f>
        <v>18493.97813582154</v>
      </c>
      <c r="C37" s="19">
        <f t="shared" si="11"/>
        <v>44317</v>
      </c>
      <c r="D37" s="26">
        <f t="shared" si="3"/>
        <v>9</v>
      </c>
      <c r="E37" s="34">
        <f t="shared" si="4"/>
        <v>640851.22086087323</v>
      </c>
      <c r="F37" s="107">
        <f t="shared" si="5"/>
        <v>-19982.330000000002</v>
      </c>
      <c r="G37" s="47">
        <f t="shared" si="6"/>
        <v>1488.3518641784613</v>
      </c>
      <c r="H37" s="60">
        <f t="shared" si="7"/>
        <v>622357.24272505171</v>
      </c>
      <c r="J37" s="74">
        <f t="shared" si="0"/>
        <v>9</v>
      </c>
      <c r="K37" s="48">
        <f t="shared" si="8"/>
        <v>612040.95382041752</v>
      </c>
      <c r="L37" s="43">
        <f t="shared" si="1"/>
        <v>-21858.605493586325</v>
      </c>
      <c r="M37" s="75">
        <f t="shared" si="2"/>
        <v>590182.34832683124</v>
      </c>
      <c r="N37" s="32"/>
      <c r="O37" s="76">
        <f t="shared" si="9"/>
        <v>-179840.97000000003</v>
      </c>
      <c r="P37" s="39">
        <f t="shared" si="9"/>
        <v>15288.414955943681</v>
      </c>
      <c r="Q37" s="88">
        <f t="shared" si="10"/>
        <v>196727.44944227696</v>
      </c>
      <c r="R37" s="86"/>
    </row>
    <row r="38" spans="1:18" x14ac:dyDescent="0.45">
      <c r="A38" s="3">
        <v>19982.330000000002</v>
      </c>
      <c r="B38" s="103">
        <f>A38/((1+$F$16)^($F$12-10))</f>
        <v>18547.0724739623</v>
      </c>
      <c r="C38" s="19">
        <f t="shared" si="11"/>
        <v>44348</v>
      </c>
      <c r="D38" s="26">
        <f t="shared" si="3"/>
        <v>10</v>
      </c>
      <c r="E38" s="34">
        <f t="shared" si="4"/>
        <v>622357.24272505171</v>
      </c>
      <c r="F38" s="107">
        <f t="shared" si="5"/>
        <v>-19982.330000000002</v>
      </c>
      <c r="G38" s="47">
        <f t="shared" si="6"/>
        <v>1435.2575260377016</v>
      </c>
      <c r="H38" s="60">
        <f t="shared" si="7"/>
        <v>603810.1702510895</v>
      </c>
      <c r="J38" s="74">
        <f t="shared" si="0"/>
        <v>10</v>
      </c>
      <c r="K38" s="48">
        <f t="shared" si="8"/>
        <v>590182.34832683124</v>
      </c>
      <c r="L38" s="43">
        <f t="shared" si="1"/>
        <v>-21858.605493586325</v>
      </c>
      <c r="M38" s="75">
        <f t="shared" si="2"/>
        <v>568323.74283324496</v>
      </c>
      <c r="N38" s="32"/>
      <c r="O38" s="76">
        <f t="shared" si="9"/>
        <v>-199823.30000000005</v>
      </c>
      <c r="P38" s="39">
        <f t="shared" si="9"/>
        <v>16723.672481981383</v>
      </c>
      <c r="Q38" s="88">
        <f t="shared" si="10"/>
        <v>218586.0549358633</v>
      </c>
      <c r="R38" s="87"/>
    </row>
    <row r="39" spans="1:18" x14ac:dyDescent="0.45">
      <c r="A39" s="3">
        <v>19982.330000000002</v>
      </c>
      <c r="B39" s="103">
        <f>A39/((1+$F$16)^($F$12-11))</f>
        <v>18600.319240570421</v>
      </c>
      <c r="C39" s="19">
        <f t="shared" si="11"/>
        <v>44378</v>
      </c>
      <c r="D39" s="26">
        <f t="shared" si="3"/>
        <v>11</v>
      </c>
      <c r="E39" s="34">
        <f t="shared" si="4"/>
        <v>603810.1702510895</v>
      </c>
      <c r="F39" s="107">
        <f t="shared" si="5"/>
        <v>-19982.330000000002</v>
      </c>
      <c r="G39" s="47">
        <f t="shared" si="6"/>
        <v>1382.0107594295805</v>
      </c>
      <c r="H39" s="60">
        <f t="shared" si="7"/>
        <v>585209.85101051908</v>
      </c>
      <c r="J39" s="74">
        <f t="shared" si="0"/>
        <v>11</v>
      </c>
      <c r="K39" s="48">
        <f t="shared" si="8"/>
        <v>568323.74283324496</v>
      </c>
      <c r="L39" s="43">
        <f t="shared" si="1"/>
        <v>-21858.605493586325</v>
      </c>
      <c r="M39" s="75">
        <f t="shared" si="2"/>
        <v>546465.13733965869</v>
      </c>
      <c r="N39" s="32"/>
      <c r="O39" s="76">
        <f t="shared" si="9"/>
        <v>-219805.63000000006</v>
      </c>
      <c r="P39" s="39">
        <f t="shared" si="9"/>
        <v>18105.683241410963</v>
      </c>
      <c r="Q39" s="88">
        <f t="shared" si="10"/>
        <v>240444.66042944964</v>
      </c>
      <c r="R39" s="87"/>
    </row>
    <row r="40" spans="1:18" x14ac:dyDescent="0.45">
      <c r="A40" s="3">
        <v>19982.330000000002</v>
      </c>
      <c r="B40" s="103">
        <f>A40/((1+$F$16)^($F$12-12))</f>
        <v>18653.718873252594</v>
      </c>
      <c r="C40" s="19">
        <f t="shared" si="11"/>
        <v>44409</v>
      </c>
      <c r="D40" s="26">
        <f t="shared" si="3"/>
        <v>12</v>
      </c>
      <c r="E40" s="34">
        <f t="shared" si="4"/>
        <v>585209.85101051908</v>
      </c>
      <c r="F40" s="107">
        <f t="shared" si="5"/>
        <v>-19982.330000000002</v>
      </c>
      <c r="G40" s="47">
        <f t="shared" si="6"/>
        <v>1328.611126747408</v>
      </c>
      <c r="H40" s="60">
        <f t="shared" si="7"/>
        <v>566556.13213726657</v>
      </c>
      <c r="J40" s="74">
        <f t="shared" si="0"/>
        <v>12</v>
      </c>
      <c r="K40" s="48">
        <f t="shared" si="8"/>
        <v>546465.13733965869</v>
      </c>
      <c r="L40" s="43">
        <f t="shared" si="1"/>
        <v>-21858.605493586325</v>
      </c>
      <c r="M40" s="75">
        <f t="shared" si="2"/>
        <v>524606.53184607241</v>
      </c>
      <c r="N40" s="32"/>
      <c r="O40" s="76">
        <f t="shared" si="9"/>
        <v>-239787.96000000008</v>
      </c>
      <c r="P40" s="39">
        <f t="shared" si="9"/>
        <v>19434.294368158371</v>
      </c>
      <c r="Q40" s="88">
        <f t="shared" si="10"/>
        <v>262303.26592303597</v>
      </c>
      <c r="R40" s="87"/>
    </row>
    <row r="41" spans="1:18" x14ac:dyDescent="0.45">
      <c r="A41" s="3">
        <v>23276.12</v>
      </c>
      <c r="B41" s="103">
        <f>A41/((1+$F$16)^($F$12-13))</f>
        <v>21790.887426164507</v>
      </c>
      <c r="C41" s="19">
        <f t="shared" si="11"/>
        <v>44440</v>
      </c>
      <c r="D41" s="26">
        <f t="shared" si="3"/>
        <v>13</v>
      </c>
      <c r="E41" s="34">
        <f t="shared" si="4"/>
        <v>566556.13213726657</v>
      </c>
      <c r="F41" s="107">
        <f t="shared" si="5"/>
        <v>-23276.12</v>
      </c>
      <c r="G41" s="47">
        <f t="shared" si="6"/>
        <v>1485.2325738354921</v>
      </c>
      <c r="H41" s="60">
        <f t="shared" si="7"/>
        <v>544765.2447111021</v>
      </c>
      <c r="J41" s="74">
        <f t="shared" si="0"/>
        <v>13</v>
      </c>
      <c r="K41" s="48">
        <f t="shared" si="8"/>
        <v>524606.53184607241</v>
      </c>
      <c r="L41" s="43">
        <f t="shared" ref="L41:L64" si="12">-$M$22/$F$12</f>
        <v>-21858.605493586325</v>
      </c>
      <c r="M41" s="75">
        <f t="shared" si="2"/>
        <v>502747.92635248607</v>
      </c>
      <c r="N41" s="32"/>
      <c r="O41" s="76">
        <f t="shared" si="9"/>
        <v>-263064.08000000007</v>
      </c>
      <c r="P41" s="39">
        <f t="shared" si="9"/>
        <v>20919.526941993863</v>
      </c>
      <c r="Q41" s="88">
        <f t="shared" si="10"/>
        <v>284161.87141662231</v>
      </c>
      <c r="R41" s="87"/>
    </row>
    <row r="42" spans="1:18" x14ac:dyDescent="0.45">
      <c r="A42" s="3">
        <v>23276.12</v>
      </c>
      <c r="B42" s="103">
        <f>A42/((1+$F$16)^($F$12-14))</f>
        <v>21853.44685696383</v>
      </c>
      <c r="C42" s="19">
        <f t="shared" si="11"/>
        <v>44470</v>
      </c>
      <c r="D42" s="26">
        <f t="shared" si="3"/>
        <v>14</v>
      </c>
      <c r="E42" s="34">
        <f t="shared" si="4"/>
        <v>544765.2447111021</v>
      </c>
      <c r="F42" s="107">
        <f t="shared" si="5"/>
        <v>-23276.12</v>
      </c>
      <c r="G42" s="47">
        <f t="shared" si="6"/>
        <v>1422.6731430361688</v>
      </c>
      <c r="H42" s="60">
        <f t="shared" si="7"/>
        <v>522911.79785413831</v>
      </c>
      <c r="J42" s="74">
        <f t="shared" si="0"/>
        <v>14</v>
      </c>
      <c r="K42" s="48">
        <f t="shared" si="8"/>
        <v>502747.92635248607</v>
      </c>
      <c r="L42" s="43">
        <f t="shared" si="12"/>
        <v>-21858.605493586325</v>
      </c>
      <c r="M42" s="75">
        <f t="shared" si="2"/>
        <v>480889.32085889974</v>
      </c>
      <c r="N42" s="32"/>
      <c r="O42" s="76">
        <f t="shared" si="9"/>
        <v>-286340.20000000007</v>
      </c>
      <c r="P42" s="39">
        <f t="shared" si="9"/>
        <v>22342.200085030032</v>
      </c>
      <c r="Q42" s="88">
        <f t="shared" si="10"/>
        <v>306020.47691020864</v>
      </c>
      <c r="R42" s="87"/>
    </row>
    <row r="43" spans="1:18" x14ac:dyDescent="0.45">
      <c r="A43" s="3">
        <v>23276.12</v>
      </c>
      <c r="B43" s="103">
        <f>A43/((1+$F$16)^($F$12-15))</f>
        <v>21916.185889552897</v>
      </c>
      <c r="C43" s="19">
        <f t="shared" si="11"/>
        <v>44501</v>
      </c>
      <c r="D43" s="26">
        <f t="shared" si="3"/>
        <v>15</v>
      </c>
      <c r="E43" s="34">
        <f t="shared" si="4"/>
        <v>522911.79785413831</v>
      </c>
      <c r="F43" s="107">
        <f t="shared" si="5"/>
        <v>-23276.12</v>
      </c>
      <c r="G43" s="47">
        <f t="shared" si="6"/>
        <v>1359.9341104471023</v>
      </c>
      <c r="H43" s="60">
        <f t="shared" si="7"/>
        <v>500995.61196458543</v>
      </c>
      <c r="J43" s="74">
        <f t="shared" si="0"/>
        <v>15</v>
      </c>
      <c r="K43" s="48">
        <f t="shared" si="8"/>
        <v>480889.32085889974</v>
      </c>
      <c r="L43" s="43">
        <f t="shared" si="12"/>
        <v>-21858.605493586325</v>
      </c>
      <c r="M43" s="75">
        <f t="shared" si="2"/>
        <v>459030.7153653134</v>
      </c>
      <c r="N43" s="32"/>
      <c r="O43" s="76">
        <f t="shared" si="9"/>
        <v>-309616.32000000007</v>
      </c>
      <c r="P43" s="39">
        <f t="shared" si="9"/>
        <v>23702.134195477134</v>
      </c>
      <c r="Q43" s="88">
        <f t="shared" si="10"/>
        <v>327879.08240379498</v>
      </c>
      <c r="R43" s="87"/>
    </row>
    <row r="44" spans="1:18" x14ac:dyDescent="0.45">
      <c r="A44" s="3">
        <v>23276.12</v>
      </c>
      <c r="B44" s="103">
        <f>A44/((1+$F$16)^($F$12-16))</f>
        <v>21979.105039550257</v>
      </c>
      <c r="C44" s="19">
        <f t="shared" si="11"/>
        <v>44531</v>
      </c>
      <c r="D44" s="26">
        <f t="shared" si="3"/>
        <v>16</v>
      </c>
      <c r="E44" s="34">
        <f t="shared" si="4"/>
        <v>500995.61196458543</v>
      </c>
      <c r="F44" s="107">
        <f t="shared" si="5"/>
        <v>-23276.12</v>
      </c>
      <c r="G44" s="47">
        <f t="shared" si="6"/>
        <v>1297.0149604497419</v>
      </c>
      <c r="H44" s="60">
        <f t="shared" si="7"/>
        <v>479016.50692503515</v>
      </c>
      <c r="J44" s="74">
        <f t="shared" si="0"/>
        <v>16</v>
      </c>
      <c r="K44" s="48">
        <f t="shared" si="8"/>
        <v>459030.7153653134</v>
      </c>
      <c r="L44" s="43">
        <f t="shared" si="12"/>
        <v>-21858.605493586325</v>
      </c>
      <c r="M44" s="75">
        <f t="shared" si="2"/>
        <v>437172.10987172707</v>
      </c>
      <c r="N44" s="32"/>
      <c r="O44" s="76">
        <f t="shared" si="9"/>
        <v>-332892.44000000006</v>
      </c>
      <c r="P44" s="39">
        <f t="shared" si="9"/>
        <v>24999.149155926876</v>
      </c>
      <c r="Q44" s="88">
        <f t="shared" si="10"/>
        <v>349737.68789738131</v>
      </c>
      <c r="R44" s="87"/>
    </row>
    <row r="45" spans="1:18" x14ac:dyDescent="0.45">
      <c r="A45" s="3">
        <v>23276.12</v>
      </c>
      <c r="B45" s="103">
        <f>A45/((1+$F$16)^($F$12-17))</f>
        <v>22042.204824054752</v>
      </c>
      <c r="C45" s="19">
        <f t="shared" si="11"/>
        <v>44562</v>
      </c>
      <c r="D45" s="26">
        <f t="shared" si="3"/>
        <v>17</v>
      </c>
      <c r="E45" s="34">
        <f t="shared" si="4"/>
        <v>479016.50692503515</v>
      </c>
      <c r="F45" s="107">
        <f t="shared" si="5"/>
        <v>-23276.12</v>
      </c>
      <c r="G45" s="47">
        <f t="shared" si="6"/>
        <v>1233.915175945247</v>
      </c>
      <c r="H45" s="60">
        <f t="shared" si="7"/>
        <v>456974.30210098042</v>
      </c>
      <c r="J45" s="74">
        <f t="shared" si="0"/>
        <v>17</v>
      </c>
      <c r="K45" s="48">
        <f t="shared" si="8"/>
        <v>437172.10987172707</v>
      </c>
      <c r="L45" s="43">
        <f t="shared" si="12"/>
        <v>-21858.605493586325</v>
      </c>
      <c r="M45" s="75">
        <f t="shared" si="2"/>
        <v>415313.50437814073</v>
      </c>
      <c r="N45" s="32"/>
      <c r="O45" s="76">
        <f t="shared" si="9"/>
        <v>-356168.56000000006</v>
      </c>
      <c r="P45" s="39">
        <f t="shared" si="9"/>
        <v>26233.064331872123</v>
      </c>
      <c r="Q45" s="88">
        <f t="shared" si="10"/>
        <v>371596.29339096765</v>
      </c>
      <c r="R45" s="87"/>
    </row>
    <row r="46" spans="1:18" x14ac:dyDescent="0.45">
      <c r="A46" s="3">
        <v>23276.12</v>
      </c>
      <c r="B46" s="103">
        <f>A46/((1+$F$16)^($F$12-18))</f>
        <v>22105.485761649757</v>
      </c>
      <c r="C46" s="19">
        <f t="shared" si="11"/>
        <v>44593</v>
      </c>
      <c r="D46" s="26">
        <f t="shared" si="3"/>
        <v>18</v>
      </c>
      <c r="E46" s="34">
        <f t="shared" si="4"/>
        <v>456974.30210098042</v>
      </c>
      <c r="F46" s="107">
        <f t="shared" si="5"/>
        <v>-23276.12</v>
      </c>
      <c r="G46" s="47">
        <f t="shared" si="6"/>
        <v>1170.6342383502415</v>
      </c>
      <c r="H46" s="60">
        <f t="shared" si="7"/>
        <v>434868.81633933069</v>
      </c>
      <c r="J46" s="74">
        <f t="shared" si="0"/>
        <v>18</v>
      </c>
      <c r="K46" s="48">
        <f t="shared" si="8"/>
        <v>415313.50437814073</v>
      </c>
      <c r="L46" s="43">
        <f t="shared" si="12"/>
        <v>-21858.605493586325</v>
      </c>
      <c r="M46" s="75">
        <f t="shared" si="2"/>
        <v>393454.89888455439</v>
      </c>
      <c r="N46" s="32"/>
      <c r="O46" s="76">
        <f t="shared" ref="O46:P61" si="13">+O45+F46</f>
        <v>-379444.68000000005</v>
      </c>
      <c r="P46" s="39">
        <f t="shared" si="13"/>
        <v>27403.698570222365</v>
      </c>
      <c r="Q46" s="88">
        <f t="shared" si="10"/>
        <v>393454.89888455399</v>
      </c>
      <c r="R46" s="87"/>
    </row>
    <row r="47" spans="1:18" x14ac:dyDescent="0.45">
      <c r="A47" s="3">
        <v>23276.12</v>
      </c>
      <c r="B47" s="103">
        <f>A47/((1+$F$16)^($F$12-19))</f>
        <v>22168.948372407442</v>
      </c>
      <c r="C47" s="19">
        <f t="shared" si="11"/>
        <v>44621</v>
      </c>
      <c r="D47" s="26">
        <f t="shared" si="3"/>
        <v>19</v>
      </c>
      <c r="E47" s="34">
        <f t="shared" si="4"/>
        <v>434868.81633933069</v>
      </c>
      <c r="F47" s="107">
        <f t="shared" si="5"/>
        <v>-23276.12</v>
      </c>
      <c r="G47" s="47">
        <f t="shared" si="6"/>
        <v>1107.1716275925573</v>
      </c>
      <c r="H47" s="60">
        <f t="shared" si="7"/>
        <v>412699.86796692328</v>
      </c>
      <c r="J47" s="74">
        <f t="shared" si="0"/>
        <v>19</v>
      </c>
      <c r="K47" s="48">
        <f t="shared" si="8"/>
        <v>393454.89888455439</v>
      </c>
      <c r="L47" s="43">
        <f t="shared" si="12"/>
        <v>-21858.605493586325</v>
      </c>
      <c r="M47" s="75">
        <f t="shared" si="2"/>
        <v>371596.29339096806</v>
      </c>
      <c r="N47" s="32"/>
      <c r="O47" s="76">
        <f t="shared" si="13"/>
        <v>-402720.80000000005</v>
      </c>
      <c r="P47" s="39">
        <f t="shared" si="13"/>
        <v>28510.870197814922</v>
      </c>
      <c r="Q47" s="88">
        <f t="shared" si="10"/>
        <v>415313.50437814032</v>
      </c>
      <c r="R47" s="87"/>
    </row>
    <row r="48" spans="1:18" x14ac:dyDescent="0.45">
      <c r="A48" s="3">
        <v>23276.12</v>
      </c>
      <c r="B48" s="103">
        <f>A48/((1+$F$16)^($F$12-20))</f>
        <v>22232.593177893064</v>
      </c>
      <c r="C48" s="19">
        <f t="shared" si="11"/>
        <v>44652</v>
      </c>
      <c r="D48" s="26">
        <f t="shared" si="3"/>
        <v>20</v>
      </c>
      <c r="E48" s="34">
        <f t="shared" si="4"/>
        <v>412699.86796692328</v>
      </c>
      <c r="F48" s="107">
        <f t="shared" si="5"/>
        <v>-23276.12</v>
      </c>
      <c r="G48" s="47">
        <f t="shared" si="6"/>
        <v>1043.5268221069346</v>
      </c>
      <c r="H48" s="60">
        <f t="shared" si="7"/>
        <v>390467.2747890302</v>
      </c>
      <c r="J48" s="74">
        <f t="shared" si="0"/>
        <v>20</v>
      </c>
      <c r="K48" s="48">
        <f t="shared" si="8"/>
        <v>371596.29339096806</v>
      </c>
      <c r="L48" s="43">
        <f t="shared" si="12"/>
        <v>-21858.605493586325</v>
      </c>
      <c r="M48" s="75">
        <f t="shared" si="2"/>
        <v>349737.68789738172</v>
      </c>
      <c r="N48" s="32"/>
      <c r="O48" s="76">
        <f t="shared" si="13"/>
        <v>-425996.92000000004</v>
      </c>
      <c r="P48" s="39">
        <f t="shared" si="13"/>
        <v>29554.397019921857</v>
      </c>
      <c r="Q48" s="88">
        <f t="shared" si="10"/>
        <v>437172.10987172666</v>
      </c>
      <c r="R48" s="87"/>
    </row>
    <row r="49" spans="1:18" x14ac:dyDescent="0.45">
      <c r="A49" s="3">
        <v>23276.12</v>
      </c>
      <c r="B49" s="103">
        <f>A49/((1+$F$16)^($F$12-21))</f>
        <v>22296.420701169223</v>
      </c>
      <c r="C49" s="19">
        <f t="shared" si="11"/>
        <v>44682</v>
      </c>
      <c r="D49" s="26">
        <f t="shared" si="3"/>
        <v>21</v>
      </c>
      <c r="E49" s="34">
        <f t="shared" si="4"/>
        <v>390467.2747890302</v>
      </c>
      <c r="F49" s="107">
        <f t="shared" si="5"/>
        <v>-23276.12</v>
      </c>
      <c r="G49" s="47">
        <f t="shared" si="6"/>
        <v>979.69929883077566</v>
      </c>
      <c r="H49" s="60">
        <f t="shared" si="7"/>
        <v>368170.85408786096</v>
      </c>
      <c r="J49" s="74">
        <f t="shared" si="0"/>
        <v>21</v>
      </c>
      <c r="K49" s="48">
        <f t="shared" si="8"/>
        <v>349737.68789738172</v>
      </c>
      <c r="L49" s="43">
        <f t="shared" si="12"/>
        <v>-21858.605493586325</v>
      </c>
      <c r="M49" s="75">
        <f t="shared" si="2"/>
        <v>327879.08240379539</v>
      </c>
      <c r="N49" s="80"/>
      <c r="O49" s="76">
        <f t="shared" si="13"/>
        <v>-449273.04000000004</v>
      </c>
      <c r="P49" s="39">
        <f t="shared" si="13"/>
        <v>30534.096318752632</v>
      </c>
      <c r="Q49" s="88">
        <f t="shared" si="10"/>
        <v>459030.71536531299</v>
      </c>
      <c r="R49" s="87"/>
    </row>
    <row r="50" spans="1:18" x14ac:dyDescent="0.45">
      <c r="A50" s="3">
        <v>23276.12</v>
      </c>
      <c r="B50" s="103">
        <f>A50/((1+$F$16)^($F$12-22))</f>
        <v>22360.431466800208</v>
      </c>
      <c r="C50" s="19">
        <f t="shared" si="11"/>
        <v>44713</v>
      </c>
      <c r="D50" s="26">
        <f t="shared" si="3"/>
        <v>22</v>
      </c>
      <c r="E50" s="34">
        <f t="shared" si="4"/>
        <v>368170.85408786096</v>
      </c>
      <c r="F50" s="107">
        <f t="shared" si="5"/>
        <v>-23276.12</v>
      </c>
      <c r="G50" s="47">
        <f t="shared" si="6"/>
        <v>915.68853319979098</v>
      </c>
      <c r="H50" s="60">
        <f t="shared" si="7"/>
        <v>345810.42262106074</v>
      </c>
      <c r="J50" s="74">
        <f t="shared" si="0"/>
        <v>22</v>
      </c>
      <c r="K50" s="48">
        <f t="shared" si="8"/>
        <v>327879.08240379539</v>
      </c>
      <c r="L50" s="43">
        <f t="shared" si="12"/>
        <v>-21858.605493586325</v>
      </c>
      <c r="M50" s="75">
        <f t="shared" si="2"/>
        <v>306020.47691020905</v>
      </c>
      <c r="N50" s="32"/>
      <c r="O50" s="76">
        <f t="shared" si="13"/>
        <v>-472549.16000000003</v>
      </c>
      <c r="P50" s="39">
        <f t="shared" si="13"/>
        <v>31449.784851952423</v>
      </c>
      <c r="Q50" s="88">
        <f t="shared" si="10"/>
        <v>480889.32085889933</v>
      </c>
      <c r="R50" s="32"/>
    </row>
    <row r="51" spans="1:18" x14ac:dyDescent="0.45">
      <c r="A51" s="3">
        <v>23276.12</v>
      </c>
      <c r="B51" s="103">
        <f>A51/((1+$F$16)^($F$12-23))</f>
        <v>22424.626000856249</v>
      </c>
      <c r="C51" s="19">
        <f t="shared" si="11"/>
        <v>44743</v>
      </c>
      <c r="D51" s="26">
        <f t="shared" si="3"/>
        <v>23</v>
      </c>
      <c r="E51" s="34">
        <f t="shared" si="4"/>
        <v>345810.42262106074</v>
      </c>
      <c r="F51" s="107">
        <f t="shared" si="5"/>
        <v>-23276.12</v>
      </c>
      <c r="G51" s="47">
        <f t="shared" si="6"/>
        <v>851.49399914374953</v>
      </c>
      <c r="H51" s="60">
        <f t="shared" si="7"/>
        <v>323385.79662020452</v>
      </c>
      <c r="J51" s="74">
        <f t="shared" si="0"/>
        <v>23</v>
      </c>
      <c r="K51" s="48">
        <f t="shared" si="8"/>
        <v>306020.47691020905</v>
      </c>
      <c r="L51" s="43">
        <f t="shared" si="12"/>
        <v>-21858.605493586325</v>
      </c>
      <c r="M51" s="75">
        <f t="shared" si="2"/>
        <v>284161.87141662271</v>
      </c>
      <c r="N51" s="32"/>
      <c r="O51" s="76">
        <f t="shared" si="13"/>
        <v>-495825.28</v>
      </c>
      <c r="P51" s="39">
        <f t="shared" si="13"/>
        <v>32301.278851096173</v>
      </c>
      <c r="Q51" s="88">
        <f t="shared" si="10"/>
        <v>502747.92635248567</v>
      </c>
      <c r="R51" s="32"/>
    </row>
    <row r="52" spans="1:18" x14ac:dyDescent="0.45">
      <c r="A52" s="3">
        <v>23276.12</v>
      </c>
      <c r="B52" s="103">
        <f>A52/((1+$F$16)^($F$12-24))</f>
        <v>22489.004830917875</v>
      </c>
      <c r="C52" s="19">
        <f t="shared" si="11"/>
        <v>44774</v>
      </c>
      <c r="D52" s="26">
        <f t="shared" si="3"/>
        <v>24</v>
      </c>
      <c r="E52" s="34">
        <f t="shared" si="4"/>
        <v>323385.79662020452</v>
      </c>
      <c r="F52" s="107">
        <f t="shared" si="5"/>
        <v>-23276.12</v>
      </c>
      <c r="G52" s="47">
        <f t="shared" si="6"/>
        <v>787.11516908212434</v>
      </c>
      <c r="H52" s="60">
        <f t="shared" si="7"/>
        <v>300896.79178928665</v>
      </c>
      <c r="J52" s="74">
        <f t="shared" si="0"/>
        <v>24</v>
      </c>
      <c r="K52" s="48">
        <f t="shared" si="8"/>
        <v>284161.87141662271</v>
      </c>
      <c r="L52" s="43">
        <f t="shared" si="12"/>
        <v>-21858.605493586325</v>
      </c>
      <c r="M52" s="75">
        <f t="shared" si="2"/>
        <v>262303.26592303638</v>
      </c>
      <c r="N52" s="32"/>
      <c r="O52" s="76">
        <f t="shared" si="13"/>
        <v>-519101.4</v>
      </c>
      <c r="P52" s="39">
        <f t="shared" si="13"/>
        <v>33088.394020178297</v>
      </c>
      <c r="Q52" s="88">
        <f t="shared" si="10"/>
        <v>524606.53184607194</v>
      </c>
      <c r="R52" s="32"/>
    </row>
    <row r="53" spans="1:18" x14ac:dyDescent="0.45">
      <c r="A53" s="3">
        <v>25471.98</v>
      </c>
      <c r="B53" s="103">
        <f>A53/((1+$F$16)^($F$12-25))</f>
        <v>24681.263260632222</v>
      </c>
      <c r="C53" s="19">
        <f t="shared" si="11"/>
        <v>44805</v>
      </c>
      <c r="D53" s="26">
        <f t="shared" si="3"/>
        <v>25</v>
      </c>
      <c r="E53" s="34">
        <f t="shared" si="4"/>
        <v>300896.79178928665</v>
      </c>
      <c r="F53" s="107">
        <f t="shared" si="5"/>
        <v>-25471.98</v>
      </c>
      <c r="G53" s="47">
        <f t="shared" si="6"/>
        <v>790.71673936777734</v>
      </c>
      <c r="H53" s="60">
        <f t="shared" si="7"/>
        <v>276215.52852865442</v>
      </c>
      <c r="J53" s="74">
        <f t="shared" si="0"/>
        <v>25</v>
      </c>
      <c r="K53" s="48">
        <f t="shared" si="8"/>
        <v>262303.26592303638</v>
      </c>
      <c r="L53" s="43">
        <f t="shared" si="12"/>
        <v>-21858.605493586325</v>
      </c>
      <c r="M53" s="75">
        <f t="shared" si="2"/>
        <v>240444.66042945004</v>
      </c>
      <c r="N53" s="32"/>
      <c r="O53" s="76">
        <f t="shared" si="13"/>
        <v>-544573.38</v>
      </c>
      <c r="P53" s="39">
        <f t="shared" si="13"/>
        <v>33879.110759546078</v>
      </c>
      <c r="Q53" s="88">
        <f t="shared" si="10"/>
        <v>546465.13733965822</v>
      </c>
      <c r="R53" s="32"/>
    </row>
    <row r="54" spans="1:18" x14ac:dyDescent="0.45">
      <c r="A54" s="3">
        <v>25471.98</v>
      </c>
      <c r="B54" s="103">
        <f>A54/((1+$F$16)^($F$12-26))</f>
        <v>24752.120667712363</v>
      </c>
      <c r="C54" s="19">
        <f t="shared" si="11"/>
        <v>44835</v>
      </c>
      <c r="D54" s="26">
        <f t="shared" si="3"/>
        <v>26</v>
      </c>
      <c r="E54" s="34">
        <f t="shared" si="4"/>
        <v>276215.52852865442</v>
      </c>
      <c r="F54" s="107">
        <f t="shared" si="5"/>
        <v>-25471.98</v>
      </c>
      <c r="G54" s="47">
        <f t="shared" si="6"/>
        <v>719.85933228763679</v>
      </c>
      <c r="H54" s="60">
        <f t="shared" si="7"/>
        <v>251463.40786094204</v>
      </c>
      <c r="J54" s="74">
        <f t="shared" si="0"/>
        <v>26</v>
      </c>
      <c r="K54" s="48">
        <f t="shared" si="8"/>
        <v>240444.66042945004</v>
      </c>
      <c r="L54" s="43">
        <f t="shared" si="12"/>
        <v>-21858.605493586325</v>
      </c>
      <c r="M54" s="75">
        <f t="shared" si="2"/>
        <v>218586.05493586371</v>
      </c>
      <c r="N54" s="32"/>
      <c r="O54" s="76">
        <f t="shared" si="13"/>
        <v>-570045.36</v>
      </c>
      <c r="P54" s="39">
        <f t="shared" si="13"/>
        <v>34598.970091833718</v>
      </c>
      <c r="Q54" s="88">
        <f t="shared" si="10"/>
        <v>568323.7428332445</v>
      </c>
      <c r="R54" s="32"/>
    </row>
    <row r="55" spans="1:18" x14ac:dyDescent="0.45">
      <c r="A55" s="3">
        <v>25471.98</v>
      </c>
      <c r="B55" s="103">
        <f>A55/((1+$F$16)^($F$12-27))</f>
        <v>24823.181499231723</v>
      </c>
      <c r="C55" s="19">
        <f t="shared" si="11"/>
        <v>44866</v>
      </c>
      <c r="D55" s="26">
        <f t="shared" si="3"/>
        <v>27</v>
      </c>
      <c r="E55" s="34">
        <f t="shared" si="4"/>
        <v>251463.40786094204</v>
      </c>
      <c r="F55" s="107">
        <f t="shared" si="5"/>
        <v>-25471.98</v>
      </c>
      <c r="G55" s="47">
        <f t="shared" si="6"/>
        <v>648.79850076827643</v>
      </c>
      <c r="H55" s="60">
        <f t="shared" si="7"/>
        <v>226640.22636171032</v>
      </c>
      <c r="J55" s="74">
        <f t="shared" si="0"/>
        <v>27</v>
      </c>
      <c r="K55" s="48">
        <f t="shared" si="8"/>
        <v>218586.05493586371</v>
      </c>
      <c r="L55" s="43">
        <f t="shared" si="12"/>
        <v>-21858.605493586325</v>
      </c>
      <c r="M55" s="75">
        <f t="shared" si="2"/>
        <v>196727.44944227737</v>
      </c>
      <c r="N55" s="32"/>
      <c r="O55" s="76">
        <f t="shared" si="13"/>
        <v>-595517.34</v>
      </c>
      <c r="P55" s="39">
        <f t="shared" si="13"/>
        <v>35247.768592601991</v>
      </c>
      <c r="Q55" s="88">
        <f t="shared" si="10"/>
        <v>590182.34832683078</v>
      </c>
      <c r="R55" s="32"/>
    </row>
    <row r="56" spans="1:18" x14ac:dyDescent="0.45">
      <c r="A56" s="3">
        <v>25471.98</v>
      </c>
      <c r="B56" s="103">
        <f>A56/((1+$F$16)^($F$12-28))</f>
        <v>24894.446339201277</v>
      </c>
      <c r="C56" s="19">
        <f t="shared" si="11"/>
        <v>44896</v>
      </c>
      <c r="D56" s="26">
        <f t="shared" si="3"/>
        <v>28</v>
      </c>
      <c r="E56" s="34">
        <f t="shared" si="4"/>
        <v>226640.22636171032</v>
      </c>
      <c r="F56" s="107">
        <f t="shared" si="5"/>
        <v>-25471.98</v>
      </c>
      <c r="G56" s="47">
        <f t="shared" si="6"/>
        <v>577.53366079872285</v>
      </c>
      <c r="H56" s="60">
        <f t="shared" si="7"/>
        <v>201745.78002250902</v>
      </c>
      <c r="J56" s="74">
        <f t="shared" si="0"/>
        <v>28</v>
      </c>
      <c r="K56" s="48">
        <f t="shared" si="8"/>
        <v>196727.44944227737</v>
      </c>
      <c r="L56" s="43">
        <f t="shared" si="12"/>
        <v>-21858.605493586325</v>
      </c>
      <c r="M56" s="75">
        <f t="shared" si="2"/>
        <v>174868.84394869104</v>
      </c>
      <c r="N56" s="32"/>
      <c r="O56" s="76">
        <f t="shared" si="13"/>
        <v>-620989.31999999995</v>
      </c>
      <c r="P56" s="39">
        <f t="shared" si="13"/>
        <v>35825.302253400718</v>
      </c>
      <c r="Q56" s="88">
        <f t="shared" si="10"/>
        <v>612040.95382041705</v>
      </c>
      <c r="R56" s="32"/>
    </row>
    <row r="57" spans="1:18" x14ac:dyDescent="0.45">
      <c r="A57" s="3">
        <v>25471.98</v>
      </c>
      <c r="B57" s="103">
        <f>A57/((1+$F$16)^($F$12-29))</f>
        <v>24965.91577330861</v>
      </c>
      <c r="C57" s="19">
        <f t="shared" si="11"/>
        <v>44927</v>
      </c>
      <c r="D57" s="26">
        <f t="shared" si="3"/>
        <v>29</v>
      </c>
      <c r="E57" s="34">
        <f t="shared" si="4"/>
        <v>201745.78002250902</v>
      </c>
      <c r="F57" s="107">
        <f t="shared" si="5"/>
        <v>-25471.98</v>
      </c>
      <c r="G57" s="47">
        <f t="shared" si="6"/>
        <v>506.06422669138919</v>
      </c>
      <c r="H57" s="60">
        <f t="shared" si="7"/>
        <v>176779.86424920039</v>
      </c>
      <c r="J57" s="74">
        <f t="shared" si="0"/>
        <v>29</v>
      </c>
      <c r="K57" s="48">
        <f t="shared" si="8"/>
        <v>174868.84394869104</v>
      </c>
      <c r="L57" s="43">
        <f t="shared" si="12"/>
        <v>-21858.605493586325</v>
      </c>
      <c r="M57" s="75">
        <f t="shared" si="2"/>
        <v>153010.2384551047</v>
      </c>
      <c r="N57" s="32"/>
      <c r="O57" s="76">
        <f t="shared" si="13"/>
        <v>-646461.29999999993</v>
      </c>
      <c r="P57" s="39">
        <f t="shared" si="13"/>
        <v>36331.366480092111</v>
      </c>
      <c r="Q57" s="88">
        <f t="shared" si="10"/>
        <v>633899.55931400333</v>
      </c>
      <c r="R57" s="32"/>
    </row>
    <row r="58" spans="1:18" x14ac:dyDescent="0.45">
      <c r="A58" s="3">
        <v>25471.98</v>
      </c>
      <c r="B58" s="103">
        <f>A58/((1+$F$16)^($F$12-30))</f>
        <v>25037.590388922777</v>
      </c>
      <c r="C58" s="19">
        <f t="shared" si="11"/>
        <v>44958</v>
      </c>
      <c r="D58" s="26">
        <f t="shared" si="3"/>
        <v>30</v>
      </c>
      <c r="E58" s="34">
        <f t="shared" si="4"/>
        <v>176779.86424920039</v>
      </c>
      <c r="F58" s="107">
        <f t="shared" si="5"/>
        <v>-25471.98</v>
      </c>
      <c r="G58" s="47">
        <f t="shared" si="6"/>
        <v>434.38961107722207</v>
      </c>
      <c r="H58" s="60">
        <f t="shared" si="7"/>
        <v>151742.27386027761</v>
      </c>
      <c r="J58" s="74">
        <f t="shared" si="0"/>
        <v>30</v>
      </c>
      <c r="K58" s="48">
        <f t="shared" si="8"/>
        <v>153010.2384551047</v>
      </c>
      <c r="L58" s="43">
        <f t="shared" si="12"/>
        <v>-21858.605493586325</v>
      </c>
      <c r="M58" s="75">
        <f t="shared" si="2"/>
        <v>131151.63296151836</v>
      </c>
      <c r="N58" s="32"/>
      <c r="O58" s="76">
        <f t="shared" si="13"/>
        <v>-671933.27999999991</v>
      </c>
      <c r="P58" s="39">
        <f t="shared" si="13"/>
        <v>36765.756091169329</v>
      </c>
      <c r="Q58" s="88">
        <f t="shared" si="10"/>
        <v>655758.16480758961</v>
      </c>
      <c r="R58" s="32"/>
    </row>
    <row r="59" spans="1:18" x14ac:dyDescent="0.45">
      <c r="A59" s="3">
        <v>25471.98</v>
      </c>
      <c r="B59" s="103">
        <f>A59/((1+$F$16)^($F$12-31))</f>
        <v>25109.470775099104</v>
      </c>
      <c r="C59" s="19">
        <f t="shared" si="11"/>
        <v>44986</v>
      </c>
      <c r="D59" s="26">
        <f t="shared" si="3"/>
        <v>31</v>
      </c>
      <c r="E59" s="34">
        <f t="shared" si="4"/>
        <v>151742.27386027761</v>
      </c>
      <c r="F59" s="107">
        <f t="shared" si="5"/>
        <v>-25471.98</v>
      </c>
      <c r="G59" s="47">
        <f t="shared" si="6"/>
        <v>362.50922490089579</v>
      </c>
      <c r="H59" s="60">
        <f t="shared" si="7"/>
        <v>126632.80308517852</v>
      </c>
      <c r="J59" s="74">
        <f t="shared" si="0"/>
        <v>31</v>
      </c>
      <c r="K59" s="48">
        <f t="shared" si="8"/>
        <v>131151.63296151836</v>
      </c>
      <c r="L59" s="43">
        <f t="shared" si="12"/>
        <v>-21858.605493586325</v>
      </c>
      <c r="M59" s="75">
        <f t="shared" si="2"/>
        <v>109293.02746793204</v>
      </c>
      <c r="N59" s="32"/>
      <c r="O59" s="76">
        <f t="shared" si="13"/>
        <v>-697405.25999999989</v>
      </c>
      <c r="P59" s="39">
        <f t="shared" si="13"/>
        <v>37128.265316070225</v>
      </c>
      <c r="Q59" s="88">
        <f t="shared" si="10"/>
        <v>677616.77030117589</v>
      </c>
      <c r="R59" s="32"/>
    </row>
    <row r="60" spans="1:18" x14ac:dyDescent="0.45">
      <c r="A60" s="3">
        <v>25471.98</v>
      </c>
      <c r="B60" s="103">
        <f>A60/((1+$F$16)^($F$12-32))</f>
        <v>25181.557522584026</v>
      </c>
      <c r="C60" s="19">
        <f t="shared" si="11"/>
        <v>45017</v>
      </c>
      <c r="D60" s="26">
        <f t="shared" si="3"/>
        <v>32</v>
      </c>
      <c r="E60" s="34">
        <f t="shared" si="4"/>
        <v>126632.80308517852</v>
      </c>
      <c r="F60" s="107">
        <f t="shared" si="5"/>
        <v>-25471.98</v>
      </c>
      <c r="G60" s="47">
        <f t="shared" si="6"/>
        <v>290.42247741597384</v>
      </c>
      <c r="H60" s="60">
        <f t="shared" si="7"/>
        <v>101451.2455625945</v>
      </c>
      <c r="J60" s="74">
        <f t="shared" si="0"/>
        <v>32</v>
      </c>
      <c r="K60" s="48">
        <f t="shared" si="8"/>
        <v>109293.02746793204</v>
      </c>
      <c r="L60" s="43">
        <f t="shared" si="12"/>
        <v>-21858.605493586325</v>
      </c>
      <c r="M60" s="75">
        <f t="shared" si="2"/>
        <v>87434.421974345722</v>
      </c>
      <c r="N60" s="32"/>
      <c r="O60" s="76">
        <f t="shared" si="13"/>
        <v>-722877.23999999987</v>
      </c>
      <c r="P60" s="39">
        <f t="shared" si="13"/>
        <v>37418.687793486199</v>
      </c>
      <c r="Q60" s="88">
        <f t="shared" si="10"/>
        <v>699475.37579476216</v>
      </c>
      <c r="R60" s="32"/>
    </row>
    <row r="61" spans="1:18" x14ac:dyDescent="0.45">
      <c r="A61" s="3">
        <v>25471.98</v>
      </c>
      <c r="B61" s="103">
        <f>A61/((1+$F$16)^($F$12-33))</f>
        <v>25253.851223819966</v>
      </c>
      <c r="C61" s="19">
        <f t="shared" si="11"/>
        <v>45047</v>
      </c>
      <c r="D61" s="26">
        <f t="shared" si="3"/>
        <v>33</v>
      </c>
      <c r="E61" s="34">
        <f t="shared" si="4"/>
        <v>101451.2455625945</v>
      </c>
      <c r="F61" s="107">
        <f t="shared" si="5"/>
        <v>-25471.98</v>
      </c>
      <c r="G61" s="47">
        <f t="shared" si="6"/>
        <v>218.12877618003404</v>
      </c>
      <c r="H61" s="60">
        <f t="shared" si="7"/>
        <v>76197.394338774538</v>
      </c>
      <c r="J61" s="74">
        <f t="shared" si="0"/>
        <v>33</v>
      </c>
      <c r="K61" s="48">
        <f t="shared" si="8"/>
        <v>87434.421974345722</v>
      </c>
      <c r="L61" s="43">
        <f t="shared" si="12"/>
        <v>-21858.605493586325</v>
      </c>
      <c r="M61" s="75">
        <f t="shared" si="2"/>
        <v>65575.8164807594</v>
      </c>
      <c r="N61" s="32"/>
      <c r="O61" s="76">
        <f t="shared" si="13"/>
        <v>-748349.21999999986</v>
      </c>
      <c r="P61" s="39">
        <f t="shared" si="13"/>
        <v>37636.816569666233</v>
      </c>
      <c r="Q61" s="88">
        <f t="shared" si="10"/>
        <v>721333.98128834844</v>
      </c>
      <c r="R61" s="32"/>
    </row>
    <row r="62" spans="1:18" x14ac:dyDescent="0.45">
      <c r="A62" s="3">
        <v>25471.98</v>
      </c>
      <c r="B62" s="103">
        <f>A62/((1+$F$16)^($F$12-34))</f>
        <v>25326.352472950184</v>
      </c>
      <c r="C62" s="19">
        <f t="shared" si="11"/>
        <v>45078</v>
      </c>
      <c r="D62" s="26">
        <f t="shared" si="3"/>
        <v>34</v>
      </c>
      <c r="E62" s="34">
        <f t="shared" si="4"/>
        <v>76197.394338774538</v>
      </c>
      <c r="F62" s="107">
        <f t="shared" si="5"/>
        <v>-25471.98</v>
      </c>
      <c r="G62" s="47">
        <f t="shared" si="6"/>
        <v>145.6275270498154</v>
      </c>
      <c r="H62" s="60">
        <f t="shared" si="7"/>
        <v>50871.041865824358</v>
      </c>
      <c r="J62" s="74">
        <f t="shared" si="0"/>
        <v>34</v>
      </c>
      <c r="K62" s="48">
        <f t="shared" si="8"/>
        <v>65575.8164807594</v>
      </c>
      <c r="L62" s="43">
        <f t="shared" si="12"/>
        <v>-21858.605493586325</v>
      </c>
      <c r="M62" s="75">
        <f t="shared" si="2"/>
        <v>43717.210987173079</v>
      </c>
      <c r="N62" s="32"/>
      <c r="O62" s="76">
        <f t="shared" ref="O62:P64" si="14">+O61+F62</f>
        <v>-773821.19999999984</v>
      </c>
      <c r="P62" s="39">
        <f t="shared" si="14"/>
        <v>37782.444096716048</v>
      </c>
      <c r="Q62" s="88">
        <f t="shared" si="10"/>
        <v>743192.58678193472</v>
      </c>
      <c r="R62" s="32"/>
    </row>
    <row r="63" spans="1:18" x14ac:dyDescent="0.45">
      <c r="A63" s="3">
        <v>25471.98</v>
      </c>
      <c r="B63" s="103">
        <f>A63/((1+$F$16)^($F$12-35))</f>
        <v>25399.061865823656</v>
      </c>
      <c r="C63" s="19">
        <f t="shared" si="11"/>
        <v>45108</v>
      </c>
      <c r="D63" s="26">
        <f t="shared" si="3"/>
        <v>35</v>
      </c>
      <c r="E63" s="34">
        <f t="shared" si="4"/>
        <v>50871.041865824358</v>
      </c>
      <c r="F63" s="107">
        <f t="shared" si="5"/>
        <v>-25471.98</v>
      </c>
      <c r="G63" s="47">
        <f t="shared" si="6"/>
        <v>72.918134176343301</v>
      </c>
      <c r="H63" s="60">
        <f t="shared" si="7"/>
        <v>25471.980000000702</v>
      </c>
      <c r="J63" s="74">
        <f t="shared" si="0"/>
        <v>35</v>
      </c>
      <c r="K63" s="48">
        <f t="shared" si="8"/>
        <v>43717.210987173079</v>
      </c>
      <c r="L63" s="43">
        <f t="shared" si="12"/>
        <v>-21858.605493586325</v>
      </c>
      <c r="M63" s="75">
        <f t="shared" si="2"/>
        <v>21858.605493586754</v>
      </c>
      <c r="N63" s="32"/>
      <c r="O63" s="76">
        <f t="shared" si="14"/>
        <v>-799293.17999999982</v>
      </c>
      <c r="P63" s="39">
        <f t="shared" si="14"/>
        <v>37855.362230892395</v>
      </c>
      <c r="Q63" s="88">
        <f t="shared" si="10"/>
        <v>765051.192275521</v>
      </c>
      <c r="R63" s="32"/>
    </row>
    <row r="64" spans="1:18" x14ac:dyDescent="0.45">
      <c r="A64" s="3">
        <v>25471.98</v>
      </c>
      <c r="B64" s="103">
        <f>A64/((1+$F$16)^($F$12-36))</f>
        <v>25471.98</v>
      </c>
      <c r="C64" s="19">
        <f t="shared" si="11"/>
        <v>45139</v>
      </c>
      <c r="D64" s="26">
        <f t="shared" si="3"/>
        <v>36</v>
      </c>
      <c r="E64" s="34">
        <f t="shared" si="4"/>
        <v>25471.980000000702</v>
      </c>
      <c r="F64" s="107">
        <f t="shared" si="5"/>
        <v>-25471.98</v>
      </c>
      <c r="G64" s="47">
        <f t="shared" si="6"/>
        <v>0</v>
      </c>
      <c r="H64" s="60">
        <f t="shared" si="7"/>
        <v>7.021299097687006E-10</v>
      </c>
      <c r="J64" s="74">
        <f t="shared" si="0"/>
        <v>36</v>
      </c>
      <c r="K64" s="48">
        <f t="shared" si="8"/>
        <v>21858.605493586754</v>
      </c>
      <c r="L64" s="43">
        <f t="shared" si="12"/>
        <v>-21858.605493586325</v>
      </c>
      <c r="M64" s="75">
        <f t="shared" si="2"/>
        <v>4.2928149923682213E-10</v>
      </c>
      <c r="N64" s="32"/>
      <c r="O64" s="76">
        <f t="shared" si="14"/>
        <v>-824765.1599999998</v>
      </c>
      <c r="P64" s="39">
        <f t="shared" si="14"/>
        <v>37855.362230892395</v>
      </c>
      <c r="Q64" s="88">
        <f t="shared" si="10"/>
        <v>786909.79776910727</v>
      </c>
      <c r="R64" s="32"/>
    </row>
    <row r="65" spans="2:18" x14ac:dyDescent="0.45">
      <c r="B65" s="7"/>
      <c r="C65" s="19">
        <f t="shared" si="11"/>
        <v>45170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45200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45231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45261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45292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45323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45352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45383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45413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45444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45474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45505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45536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45566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45597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45627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45658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45689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45717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45748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45778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45809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45839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45870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45901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45931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45962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45992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46023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46054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5">DATE(YEAR(C94),MONTH(C94)+1,DAY(C94))</f>
        <v>46082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5"/>
        <v>46113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5"/>
        <v>46143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5"/>
        <v>46174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5"/>
        <v>46204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5"/>
        <v>46235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5"/>
        <v>46266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5"/>
        <v>46296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5"/>
        <v>46327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5"/>
        <v>46357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5"/>
        <v>46388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5"/>
        <v>46419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5"/>
        <v>46447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-824765.1599999998</v>
      </c>
      <c r="G110" s="43">
        <f>SUM(G29:G107)</f>
        <v>37855.362230892395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699475.37579476263</v>
      </c>
      <c r="G116" s="119">
        <f>INDEX(M:M,MATCH(DATE(2021,12,DAY(D10)),C:C))</f>
        <v>437172.10987172707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-235282.71642088227</v>
      </c>
      <c r="G119" s="113">
        <f ca="1">IFERROR(SUM(INDIRECT("F"&amp;MATCH(DATE(2022,1,DAY(D10)),C:C)):INDIRECT("G"&amp;MATCH(DATE(2022,1,DAY(D10)),C:C)+11)),VALUE("0"))</f>
        <v>-277270.72690252616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-479016.50692503451</v>
      </c>
      <c r="G123" s="113">
        <f ca="1">IFERROR(SUM(INDIRECT("F"&amp;MATCH(DATE(2023,1,DAY(D10)),C:C)):G107),VALUE("0"))</f>
        <v>-201745.78002250835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-288096.88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-203775.84000000003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31361-1404-4269-91A6-90345FF43FE8}">
  <dimension ref="A1:R130"/>
  <sheetViews>
    <sheetView topLeftCell="A103" zoomScale="85" zoomScaleNormal="85" workbookViewId="0">
      <selection activeCell="F116" sqref="F116"/>
    </sheetView>
  </sheetViews>
  <sheetFormatPr defaultRowHeight="14.25" x14ac:dyDescent="0.45"/>
  <cols>
    <col min="1" max="1" width="13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115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44197</v>
      </c>
      <c r="E10" s="12">
        <f>VLOOKUP($C$2,'Lease Summary'!D:H,4,FALSE)</f>
        <v>45291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25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1390244.3298299015</v>
      </c>
      <c r="J22" s="17" t="s">
        <v>234</v>
      </c>
      <c r="K22" s="22"/>
      <c r="L22" s="7"/>
      <c r="M22" s="65">
        <f>H22</f>
        <v>1390244.3298299015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1390244.3298299015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v>36961.599999999999</v>
      </c>
      <c r="B29" s="103">
        <f>A29/((1+$F$16)^($F$12-1))</f>
        <v>33432.953365250862</v>
      </c>
      <c r="C29" s="19">
        <f>D10</f>
        <v>44197</v>
      </c>
      <c r="D29" s="27">
        <v>1</v>
      </c>
      <c r="E29" s="33">
        <f>A28</f>
        <v>1390244.3298299015</v>
      </c>
      <c r="F29" s="106">
        <f>-A29</f>
        <v>-36961.599999999999</v>
      </c>
      <c r="G29" s="46">
        <f>A29-B29</f>
        <v>3528.6466347491369</v>
      </c>
      <c r="H29" s="59">
        <f>SUM(E29:G29)</f>
        <v>1356811.3764646505</v>
      </c>
      <c r="J29" s="69">
        <f t="shared" ref="J29:J64" si="0">D29</f>
        <v>1</v>
      </c>
      <c r="K29" s="70">
        <f>M22</f>
        <v>1390244.3298299015</v>
      </c>
      <c r="L29" s="42">
        <f t="shared" ref="L29:L40" si="1">-$M$22/$F$12</f>
        <v>-38617.898050830598</v>
      </c>
      <c r="M29" s="71">
        <f t="shared" ref="M29:M64" si="2">K29+L29</f>
        <v>1351626.4317790708</v>
      </c>
      <c r="N29" s="32"/>
      <c r="O29" s="72">
        <f>+F29</f>
        <v>-36961.599999999999</v>
      </c>
      <c r="P29" s="73">
        <f>+G29</f>
        <v>3528.6466347491369</v>
      </c>
      <c r="Q29" s="71">
        <f>-L29</f>
        <v>38617.898050830598</v>
      </c>
      <c r="R29" s="85"/>
    </row>
    <row r="30" spans="1:18" x14ac:dyDescent="0.45">
      <c r="A30" s="3">
        <v>36961.599999999999</v>
      </c>
      <c r="B30" s="103">
        <f>A30/((1+$F$16)^($F$12-2))</f>
        <v>33528.935988242112</v>
      </c>
      <c r="C30" s="19">
        <f>DATE(YEAR(C29),MONTH(C29)+1,DAY(C29))</f>
        <v>44228</v>
      </c>
      <c r="D30" s="26">
        <f t="shared" ref="D30:D64" si="3">D29+1</f>
        <v>2</v>
      </c>
      <c r="E30" s="34">
        <f t="shared" ref="E30:E64" si="4">H29</f>
        <v>1356811.3764646505</v>
      </c>
      <c r="F30" s="107">
        <f t="shared" ref="F30:F64" si="5">-A30</f>
        <v>-36961.599999999999</v>
      </c>
      <c r="G30" s="47">
        <f t="shared" ref="G30:G64" si="6">A30-B30</f>
        <v>3432.6640117578863</v>
      </c>
      <c r="H30" s="60">
        <f t="shared" ref="H30:H64" si="7">SUM(E30:G30)</f>
        <v>1323282.4404764082</v>
      </c>
      <c r="J30" s="74">
        <f t="shared" si="0"/>
        <v>2</v>
      </c>
      <c r="K30" s="48">
        <f t="shared" ref="K30:K64" si="8">M29</f>
        <v>1351626.4317790708</v>
      </c>
      <c r="L30" s="43">
        <f t="shared" si="1"/>
        <v>-38617.898050830598</v>
      </c>
      <c r="M30" s="75">
        <f t="shared" si="2"/>
        <v>1313008.5337282401</v>
      </c>
      <c r="N30" s="32"/>
      <c r="O30" s="76">
        <f t="shared" ref="O30:P45" si="9">+O29+F30</f>
        <v>-73923.199999999997</v>
      </c>
      <c r="P30" s="77">
        <f t="shared" si="9"/>
        <v>6961.3106465070232</v>
      </c>
      <c r="Q30" s="75">
        <f t="shared" ref="Q30:Q64" si="10">+Q29-L30</f>
        <v>77235.796101661195</v>
      </c>
      <c r="R30" s="86"/>
    </row>
    <row r="31" spans="1:18" x14ac:dyDescent="0.45">
      <c r="A31" s="3">
        <v>36961.599999999999</v>
      </c>
      <c r="B31" s="103">
        <f>A31/((1+$F$16)^($F$12-3))</f>
        <v>33625.194167622758</v>
      </c>
      <c r="C31" s="19">
        <f t="shared" ref="C31:C94" si="11">DATE(YEAR(C30),MONTH(C30)+1,DAY(C30))</f>
        <v>44256</v>
      </c>
      <c r="D31" s="26">
        <f t="shared" si="3"/>
        <v>3</v>
      </c>
      <c r="E31" s="34">
        <f t="shared" si="4"/>
        <v>1323282.4404764082</v>
      </c>
      <c r="F31" s="107">
        <f t="shared" si="5"/>
        <v>-36961.599999999999</v>
      </c>
      <c r="G31" s="47">
        <f t="shared" si="6"/>
        <v>3336.4058323772406</v>
      </c>
      <c r="H31" s="60">
        <f t="shared" si="7"/>
        <v>1289657.2463087854</v>
      </c>
      <c r="J31" s="74">
        <f t="shared" si="0"/>
        <v>3</v>
      </c>
      <c r="K31" s="48">
        <f t="shared" si="8"/>
        <v>1313008.5337282401</v>
      </c>
      <c r="L31" s="43">
        <f t="shared" si="1"/>
        <v>-38617.898050830598</v>
      </c>
      <c r="M31" s="75">
        <f t="shared" si="2"/>
        <v>1274390.6356774094</v>
      </c>
      <c r="N31" s="32"/>
      <c r="O31" s="76">
        <f t="shared" si="9"/>
        <v>-110884.79999999999</v>
      </c>
      <c r="P31" s="39">
        <f t="shared" si="9"/>
        <v>10297.716478884264</v>
      </c>
      <c r="Q31" s="88">
        <f t="shared" si="10"/>
        <v>115853.69415249179</v>
      </c>
      <c r="R31" s="86"/>
    </row>
    <row r="32" spans="1:18" x14ac:dyDescent="0.45">
      <c r="A32" s="3">
        <v>36961.599999999999</v>
      </c>
      <c r="B32" s="103">
        <f>A32/((1+$F$16)^($F$12-4))</f>
        <v>33721.728694487283</v>
      </c>
      <c r="C32" s="19">
        <f t="shared" si="11"/>
        <v>44287</v>
      </c>
      <c r="D32" s="26">
        <f t="shared" si="3"/>
        <v>4</v>
      </c>
      <c r="E32" s="34">
        <f t="shared" si="4"/>
        <v>1289657.2463087854</v>
      </c>
      <c r="F32" s="107">
        <f t="shared" si="5"/>
        <v>-36961.599999999999</v>
      </c>
      <c r="G32" s="47">
        <f t="shared" si="6"/>
        <v>3239.8713055127155</v>
      </c>
      <c r="H32" s="60">
        <f t="shared" si="7"/>
        <v>1255935.517614298</v>
      </c>
      <c r="J32" s="74">
        <f t="shared" si="0"/>
        <v>4</v>
      </c>
      <c r="K32" s="48">
        <f t="shared" si="8"/>
        <v>1274390.6356774094</v>
      </c>
      <c r="L32" s="43">
        <f t="shared" si="1"/>
        <v>-38617.898050830598</v>
      </c>
      <c r="M32" s="75">
        <f t="shared" si="2"/>
        <v>1235772.7376265787</v>
      </c>
      <c r="N32" s="32"/>
      <c r="O32" s="76">
        <f t="shared" si="9"/>
        <v>-147846.39999999999</v>
      </c>
      <c r="P32" s="39">
        <f t="shared" si="9"/>
        <v>13537.587784396979</v>
      </c>
      <c r="Q32" s="88">
        <f t="shared" si="10"/>
        <v>154471.59220332239</v>
      </c>
      <c r="R32" s="86"/>
    </row>
    <row r="33" spans="1:18" x14ac:dyDescent="0.45">
      <c r="A33" s="3">
        <v>36961.599999999999</v>
      </c>
      <c r="B33" s="103">
        <f>A33/((1+$F$16)^($F$12-5))</f>
        <v>33818.540362201333</v>
      </c>
      <c r="C33" s="19">
        <f t="shared" si="11"/>
        <v>44317</v>
      </c>
      <c r="D33" s="26">
        <f t="shared" si="3"/>
        <v>5</v>
      </c>
      <c r="E33" s="34">
        <f t="shared" si="4"/>
        <v>1255935.517614298</v>
      </c>
      <c r="F33" s="107">
        <f t="shared" si="5"/>
        <v>-36961.599999999999</v>
      </c>
      <c r="G33" s="47">
        <f t="shared" si="6"/>
        <v>3143.0596377986658</v>
      </c>
      <c r="H33" s="60">
        <f t="shared" si="7"/>
        <v>1222116.9772520966</v>
      </c>
      <c r="J33" s="74">
        <f t="shared" si="0"/>
        <v>5</v>
      </c>
      <c r="K33" s="48">
        <f t="shared" si="8"/>
        <v>1235772.7376265787</v>
      </c>
      <c r="L33" s="43">
        <f t="shared" si="1"/>
        <v>-38617.898050830598</v>
      </c>
      <c r="M33" s="75">
        <f t="shared" si="2"/>
        <v>1197154.839575748</v>
      </c>
      <c r="N33" s="32"/>
      <c r="O33" s="76">
        <f t="shared" si="9"/>
        <v>-184808</v>
      </c>
      <c r="P33" s="39">
        <f t="shared" si="9"/>
        <v>16680.647422195645</v>
      </c>
      <c r="Q33" s="88">
        <f t="shared" si="10"/>
        <v>193089.49025415297</v>
      </c>
      <c r="R33" s="86"/>
    </row>
    <row r="34" spans="1:18" x14ac:dyDescent="0.45">
      <c r="A34" s="3">
        <v>36961.599999999999</v>
      </c>
      <c r="B34" s="103">
        <f>A34/((1+$F$16)^($F$12-6))</f>
        <v>33915.629966408218</v>
      </c>
      <c r="C34" s="19">
        <f t="shared" si="11"/>
        <v>44348</v>
      </c>
      <c r="D34" s="26">
        <f t="shared" si="3"/>
        <v>6</v>
      </c>
      <c r="E34" s="34">
        <f t="shared" si="4"/>
        <v>1222116.9772520966</v>
      </c>
      <c r="F34" s="107">
        <f t="shared" si="5"/>
        <v>-36961.599999999999</v>
      </c>
      <c r="G34" s="47">
        <f t="shared" si="6"/>
        <v>3045.9700335917805</v>
      </c>
      <c r="H34" s="60">
        <f t="shared" si="7"/>
        <v>1188201.3472856884</v>
      </c>
      <c r="J34" s="74">
        <f t="shared" si="0"/>
        <v>6</v>
      </c>
      <c r="K34" s="48">
        <f t="shared" si="8"/>
        <v>1197154.839575748</v>
      </c>
      <c r="L34" s="43">
        <f t="shared" si="1"/>
        <v>-38617.898050830598</v>
      </c>
      <c r="M34" s="75">
        <f t="shared" si="2"/>
        <v>1158536.9415249173</v>
      </c>
      <c r="N34" s="32"/>
      <c r="O34" s="76">
        <f t="shared" si="9"/>
        <v>-221769.60000000001</v>
      </c>
      <c r="P34" s="39">
        <f t="shared" si="9"/>
        <v>19726.617455787426</v>
      </c>
      <c r="Q34" s="88">
        <f t="shared" si="10"/>
        <v>231707.38830498356</v>
      </c>
      <c r="R34" s="86"/>
    </row>
    <row r="35" spans="1:18" x14ac:dyDescent="0.45">
      <c r="A35" s="3">
        <v>36961.599999999999</v>
      </c>
      <c r="B35" s="103">
        <f>A35/((1+$F$16)^($F$12-7))</f>
        <v>34012.998305035464</v>
      </c>
      <c r="C35" s="19">
        <f t="shared" si="11"/>
        <v>44378</v>
      </c>
      <c r="D35" s="26">
        <f t="shared" si="3"/>
        <v>7</v>
      </c>
      <c r="E35" s="34">
        <f t="shared" si="4"/>
        <v>1188201.3472856884</v>
      </c>
      <c r="F35" s="107">
        <f t="shared" si="5"/>
        <v>-36961.599999999999</v>
      </c>
      <c r="G35" s="47">
        <f t="shared" si="6"/>
        <v>2948.6016949645345</v>
      </c>
      <c r="H35" s="60">
        <f t="shared" si="7"/>
        <v>1154188.3489806529</v>
      </c>
      <c r="J35" s="74">
        <f t="shared" si="0"/>
        <v>7</v>
      </c>
      <c r="K35" s="48">
        <f t="shared" si="8"/>
        <v>1158536.9415249173</v>
      </c>
      <c r="L35" s="43">
        <f t="shared" si="1"/>
        <v>-38617.898050830598</v>
      </c>
      <c r="M35" s="75">
        <f t="shared" si="2"/>
        <v>1119919.0434740866</v>
      </c>
      <c r="N35" s="32"/>
      <c r="O35" s="76">
        <f t="shared" si="9"/>
        <v>-258731.2</v>
      </c>
      <c r="P35" s="39">
        <f t="shared" si="9"/>
        <v>22675.21915075196</v>
      </c>
      <c r="Q35" s="88">
        <f t="shared" si="10"/>
        <v>270325.28635581414</v>
      </c>
      <c r="R35" s="86"/>
    </row>
    <row r="36" spans="1:18" x14ac:dyDescent="0.45">
      <c r="A36" s="3">
        <v>36961.599999999999</v>
      </c>
      <c r="B36" s="103">
        <f>A36/((1+$F$16)^($F$12-8))</f>
        <v>34110.646178301336</v>
      </c>
      <c r="C36" s="19">
        <f t="shared" si="11"/>
        <v>44409</v>
      </c>
      <c r="D36" s="26">
        <f t="shared" si="3"/>
        <v>8</v>
      </c>
      <c r="E36" s="34">
        <f t="shared" si="4"/>
        <v>1154188.3489806529</v>
      </c>
      <c r="F36" s="107">
        <f t="shared" si="5"/>
        <v>-36961.599999999999</v>
      </c>
      <c r="G36" s="47">
        <f t="shared" si="6"/>
        <v>2850.9538216986621</v>
      </c>
      <c r="H36" s="60">
        <f t="shared" si="7"/>
        <v>1120077.7028023514</v>
      </c>
      <c r="J36" s="74">
        <f t="shared" si="0"/>
        <v>8</v>
      </c>
      <c r="K36" s="48">
        <f t="shared" si="8"/>
        <v>1119919.0434740866</v>
      </c>
      <c r="L36" s="43">
        <f t="shared" si="1"/>
        <v>-38617.898050830598</v>
      </c>
      <c r="M36" s="75">
        <f t="shared" si="2"/>
        <v>1081301.1454232559</v>
      </c>
      <c r="N36" s="32"/>
      <c r="O36" s="76">
        <f t="shared" si="9"/>
        <v>-295692.79999999999</v>
      </c>
      <c r="P36" s="39">
        <f t="shared" si="9"/>
        <v>25526.172972450622</v>
      </c>
      <c r="Q36" s="88">
        <f t="shared" si="10"/>
        <v>308943.18440664472</v>
      </c>
      <c r="R36" s="86"/>
    </row>
    <row r="37" spans="1:18" x14ac:dyDescent="0.45">
      <c r="A37" s="3">
        <v>36961.599999999999</v>
      </c>
      <c r="B37" s="103">
        <f>A37/((1+$F$16)^($F$12-9))</f>
        <v>34208.574388721507</v>
      </c>
      <c r="C37" s="19">
        <f t="shared" si="11"/>
        <v>44440</v>
      </c>
      <c r="D37" s="26">
        <f t="shared" si="3"/>
        <v>9</v>
      </c>
      <c r="E37" s="34">
        <f t="shared" si="4"/>
        <v>1120077.7028023514</v>
      </c>
      <c r="F37" s="107">
        <f t="shared" si="5"/>
        <v>-36961.599999999999</v>
      </c>
      <c r="G37" s="47">
        <f t="shared" si="6"/>
        <v>2753.0256112784919</v>
      </c>
      <c r="H37" s="60">
        <f t="shared" si="7"/>
        <v>1085869.12841363</v>
      </c>
      <c r="J37" s="74">
        <f t="shared" si="0"/>
        <v>9</v>
      </c>
      <c r="K37" s="48">
        <f t="shared" si="8"/>
        <v>1081301.1454232559</v>
      </c>
      <c r="L37" s="43">
        <f t="shared" si="1"/>
        <v>-38617.898050830598</v>
      </c>
      <c r="M37" s="75">
        <f t="shared" si="2"/>
        <v>1042683.2473724253</v>
      </c>
      <c r="N37" s="32"/>
      <c r="O37" s="76">
        <f t="shared" si="9"/>
        <v>-332654.39999999997</v>
      </c>
      <c r="P37" s="39">
        <f t="shared" si="9"/>
        <v>28279.198583729114</v>
      </c>
      <c r="Q37" s="88">
        <f t="shared" si="10"/>
        <v>347561.08245747531</v>
      </c>
      <c r="R37" s="86"/>
    </row>
    <row r="38" spans="1:18" x14ac:dyDescent="0.45">
      <c r="A38" s="3">
        <v>36961.599999999999</v>
      </c>
      <c r="B38" s="103">
        <f>A38/((1+$F$16)^($F$12-10))</f>
        <v>34306.78374111552</v>
      </c>
      <c r="C38" s="19">
        <f t="shared" si="11"/>
        <v>44470</v>
      </c>
      <c r="D38" s="26">
        <f t="shared" si="3"/>
        <v>10</v>
      </c>
      <c r="E38" s="34">
        <f t="shared" si="4"/>
        <v>1085869.12841363</v>
      </c>
      <c r="F38" s="107">
        <f t="shared" si="5"/>
        <v>-36961.599999999999</v>
      </c>
      <c r="G38" s="47">
        <f t="shared" si="6"/>
        <v>2654.8162588844789</v>
      </c>
      <c r="H38" s="60">
        <f t="shared" si="7"/>
        <v>1051562.3446725144</v>
      </c>
      <c r="J38" s="74">
        <f t="shared" si="0"/>
        <v>10</v>
      </c>
      <c r="K38" s="48">
        <f t="shared" si="8"/>
        <v>1042683.2473724253</v>
      </c>
      <c r="L38" s="43">
        <f t="shared" si="1"/>
        <v>-38617.898050830598</v>
      </c>
      <c r="M38" s="75">
        <f t="shared" si="2"/>
        <v>1004065.3493215947</v>
      </c>
      <c r="N38" s="32"/>
      <c r="O38" s="76">
        <f t="shared" si="9"/>
        <v>-369615.99999999994</v>
      </c>
      <c r="P38" s="39">
        <f t="shared" si="9"/>
        <v>30934.014842613593</v>
      </c>
      <c r="Q38" s="88">
        <f t="shared" si="10"/>
        <v>386178.98050830589</v>
      </c>
      <c r="R38" s="87"/>
    </row>
    <row r="39" spans="1:18" x14ac:dyDescent="0.45">
      <c r="A39" s="3">
        <v>36961.599999999999</v>
      </c>
      <c r="B39" s="103">
        <f>A39/((1+$F$16)^($F$12-11))</f>
        <v>34405.275042613524</v>
      </c>
      <c r="C39" s="19">
        <f t="shared" si="11"/>
        <v>44501</v>
      </c>
      <c r="D39" s="26">
        <f t="shared" si="3"/>
        <v>11</v>
      </c>
      <c r="E39" s="34">
        <f t="shared" si="4"/>
        <v>1051562.3446725144</v>
      </c>
      <c r="F39" s="107">
        <f t="shared" si="5"/>
        <v>-36961.599999999999</v>
      </c>
      <c r="G39" s="47">
        <f t="shared" si="6"/>
        <v>2556.3249573864741</v>
      </c>
      <c r="H39" s="60">
        <f t="shared" si="7"/>
        <v>1017157.0696299009</v>
      </c>
      <c r="J39" s="74">
        <f t="shared" si="0"/>
        <v>11</v>
      </c>
      <c r="K39" s="48">
        <f t="shared" si="8"/>
        <v>1004065.3493215947</v>
      </c>
      <c r="L39" s="43">
        <f t="shared" si="1"/>
        <v>-38617.898050830598</v>
      </c>
      <c r="M39" s="75">
        <f t="shared" si="2"/>
        <v>965447.45127076411</v>
      </c>
      <c r="N39" s="32"/>
      <c r="O39" s="76">
        <f t="shared" si="9"/>
        <v>-406577.59999999992</v>
      </c>
      <c r="P39" s="39">
        <f t="shared" si="9"/>
        <v>33490.339800000067</v>
      </c>
      <c r="Q39" s="88">
        <f t="shared" si="10"/>
        <v>424796.87855913647</v>
      </c>
      <c r="R39" s="87"/>
    </row>
    <row r="40" spans="1:18" x14ac:dyDescent="0.45">
      <c r="A40" s="3">
        <v>36961.599999999999</v>
      </c>
      <c r="B40" s="103">
        <f>A40/((1+$F$16)^($F$12-12))</f>
        <v>34504.049102662852</v>
      </c>
      <c r="C40" s="19">
        <f t="shared" si="11"/>
        <v>44531</v>
      </c>
      <c r="D40" s="26">
        <f t="shared" si="3"/>
        <v>12</v>
      </c>
      <c r="E40" s="34">
        <f t="shared" si="4"/>
        <v>1017157.0696299009</v>
      </c>
      <c r="F40" s="107">
        <f t="shared" si="5"/>
        <v>-36961.599999999999</v>
      </c>
      <c r="G40" s="47">
        <f t="shared" si="6"/>
        <v>2457.550897337147</v>
      </c>
      <c r="H40" s="60">
        <f t="shared" si="7"/>
        <v>982653.02052723803</v>
      </c>
      <c r="J40" s="74">
        <f t="shared" si="0"/>
        <v>12</v>
      </c>
      <c r="K40" s="48">
        <f t="shared" si="8"/>
        <v>965447.45127076411</v>
      </c>
      <c r="L40" s="43">
        <f t="shared" si="1"/>
        <v>-38617.898050830598</v>
      </c>
      <c r="M40" s="75">
        <f t="shared" si="2"/>
        <v>926829.55321993353</v>
      </c>
      <c r="N40" s="32"/>
      <c r="O40" s="76">
        <f t="shared" si="9"/>
        <v>-443539.1999999999</v>
      </c>
      <c r="P40" s="39">
        <f t="shared" si="9"/>
        <v>35947.890697337214</v>
      </c>
      <c r="Q40" s="88">
        <f t="shared" si="10"/>
        <v>463414.77660996706</v>
      </c>
      <c r="R40" s="87"/>
    </row>
    <row r="41" spans="1:18" x14ac:dyDescent="0.45">
      <c r="A41" s="3">
        <v>41404.1</v>
      </c>
      <c r="B41" s="103">
        <f>A41/((1+$F$16)^($F$12-13))</f>
        <v>38762.133984601292</v>
      </c>
      <c r="C41" s="19">
        <f t="shared" si="11"/>
        <v>44562</v>
      </c>
      <c r="D41" s="26">
        <f t="shared" si="3"/>
        <v>13</v>
      </c>
      <c r="E41" s="34">
        <f t="shared" si="4"/>
        <v>982653.02052723803</v>
      </c>
      <c r="F41" s="107">
        <f t="shared" si="5"/>
        <v>-41404.1</v>
      </c>
      <c r="G41" s="47">
        <f t="shared" si="6"/>
        <v>2641.9660153987061</v>
      </c>
      <c r="H41" s="60">
        <f t="shared" si="7"/>
        <v>943890.88654263678</v>
      </c>
      <c r="J41" s="74">
        <f t="shared" si="0"/>
        <v>13</v>
      </c>
      <c r="K41" s="48">
        <f t="shared" si="8"/>
        <v>926829.55321993353</v>
      </c>
      <c r="L41" s="43">
        <f t="shared" ref="L41:L64" si="12">-$M$22/$F$12</f>
        <v>-38617.898050830598</v>
      </c>
      <c r="M41" s="75">
        <f t="shared" si="2"/>
        <v>888211.65516910295</v>
      </c>
      <c r="N41" s="32"/>
      <c r="O41" s="76">
        <f t="shared" si="9"/>
        <v>-484943.29999999987</v>
      </c>
      <c r="P41" s="39">
        <f t="shared" si="9"/>
        <v>38589.85671273592</v>
      </c>
      <c r="Q41" s="88">
        <f t="shared" si="10"/>
        <v>502032.67466079764</v>
      </c>
      <c r="R41" s="87"/>
    </row>
    <row r="42" spans="1:18" x14ac:dyDescent="0.45">
      <c r="A42" s="3">
        <v>41404.1</v>
      </c>
      <c r="B42" s="103">
        <f>A42/((1+$F$16)^($F$12-14))</f>
        <v>38873.416145406372</v>
      </c>
      <c r="C42" s="19">
        <f t="shared" si="11"/>
        <v>44593</v>
      </c>
      <c r="D42" s="26">
        <f t="shared" si="3"/>
        <v>14</v>
      </c>
      <c r="E42" s="34">
        <f t="shared" si="4"/>
        <v>943890.88654263678</v>
      </c>
      <c r="F42" s="107">
        <f t="shared" si="5"/>
        <v>-41404.1</v>
      </c>
      <c r="G42" s="47">
        <f t="shared" si="6"/>
        <v>2530.6838545936262</v>
      </c>
      <c r="H42" s="60">
        <f t="shared" si="7"/>
        <v>905017.47039723047</v>
      </c>
      <c r="J42" s="74">
        <f t="shared" si="0"/>
        <v>14</v>
      </c>
      <c r="K42" s="48">
        <f t="shared" si="8"/>
        <v>888211.65516910295</v>
      </c>
      <c r="L42" s="43">
        <f t="shared" si="12"/>
        <v>-38617.898050830598</v>
      </c>
      <c r="M42" s="75">
        <f t="shared" si="2"/>
        <v>849593.75711827236</v>
      </c>
      <c r="N42" s="32"/>
      <c r="O42" s="76">
        <f t="shared" si="9"/>
        <v>-526347.39999999991</v>
      </c>
      <c r="P42" s="39">
        <f t="shared" si="9"/>
        <v>41120.540567329546</v>
      </c>
      <c r="Q42" s="88">
        <f t="shared" si="10"/>
        <v>540650.57271162828</v>
      </c>
      <c r="R42" s="87"/>
    </row>
    <row r="43" spans="1:18" x14ac:dyDescent="0.45">
      <c r="A43" s="3">
        <v>41404.1</v>
      </c>
      <c r="B43" s="103">
        <f>A43/((1+$F$16)^($F$12-15))</f>
        <v>38985.017786024349</v>
      </c>
      <c r="C43" s="19">
        <f t="shared" si="11"/>
        <v>44621</v>
      </c>
      <c r="D43" s="26">
        <f t="shared" si="3"/>
        <v>15</v>
      </c>
      <c r="E43" s="34">
        <f t="shared" si="4"/>
        <v>905017.47039723047</v>
      </c>
      <c r="F43" s="107">
        <f t="shared" si="5"/>
        <v>-41404.1</v>
      </c>
      <c r="G43" s="47">
        <f t="shared" si="6"/>
        <v>2419.0822139756492</v>
      </c>
      <c r="H43" s="60">
        <f t="shared" si="7"/>
        <v>866032.4526112061</v>
      </c>
      <c r="J43" s="74">
        <f t="shared" si="0"/>
        <v>15</v>
      </c>
      <c r="K43" s="48">
        <f t="shared" si="8"/>
        <v>849593.75711827236</v>
      </c>
      <c r="L43" s="43">
        <f t="shared" si="12"/>
        <v>-38617.898050830598</v>
      </c>
      <c r="M43" s="75">
        <f t="shared" si="2"/>
        <v>810975.85906744178</v>
      </c>
      <c r="N43" s="32"/>
      <c r="O43" s="76">
        <f t="shared" si="9"/>
        <v>-567751.49999999988</v>
      </c>
      <c r="P43" s="39">
        <f t="shared" si="9"/>
        <v>43539.622781305196</v>
      </c>
      <c r="Q43" s="88">
        <f t="shared" si="10"/>
        <v>579268.47076245886</v>
      </c>
      <c r="R43" s="87"/>
    </row>
    <row r="44" spans="1:18" x14ac:dyDescent="0.45">
      <c r="A44" s="3">
        <v>41404.1</v>
      </c>
      <c r="B44" s="103">
        <f>A44/((1+$F$16)^($F$12-16))</f>
        <v>39096.939823649423</v>
      </c>
      <c r="C44" s="19">
        <f t="shared" si="11"/>
        <v>44652</v>
      </c>
      <c r="D44" s="26">
        <f t="shared" si="3"/>
        <v>16</v>
      </c>
      <c r="E44" s="34">
        <f t="shared" si="4"/>
        <v>866032.4526112061</v>
      </c>
      <c r="F44" s="107">
        <f t="shared" si="5"/>
        <v>-41404.1</v>
      </c>
      <c r="G44" s="47">
        <f t="shared" si="6"/>
        <v>2307.1601763505751</v>
      </c>
      <c r="H44" s="60">
        <f t="shared" si="7"/>
        <v>826935.51278755674</v>
      </c>
      <c r="J44" s="74">
        <f t="shared" si="0"/>
        <v>16</v>
      </c>
      <c r="K44" s="48">
        <f t="shared" si="8"/>
        <v>810975.85906744178</v>
      </c>
      <c r="L44" s="43">
        <f t="shared" si="12"/>
        <v>-38617.898050830598</v>
      </c>
      <c r="M44" s="75">
        <f t="shared" si="2"/>
        <v>772357.9610166112</v>
      </c>
      <c r="N44" s="32"/>
      <c r="O44" s="76">
        <f t="shared" si="9"/>
        <v>-609155.59999999986</v>
      </c>
      <c r="P44" s="39">
        <f t="shared" si="9"/>
        <v>45846.782957655771</v>
      </c>
      <c r="Q44" s="88">
        <f t="shared" si="10"/>
        <v>617886.36881328945</v>
      </c>
      <c r="R44" s="87"/>
    </row>
    <row r="45" spans="1:18" x14ac:dyDescent="0.45">
      <c r="A45" s="3">
        <v>41404.1</v>
      </c>
      <c r="B45" s="103">
        <f>A45/((1+$F$16)^($F$12-17))</f>
        <v>39209.183178108957</v>
      </c>
      <c r="C45" s="19">
        <f t="shared" si="11"/>
        <v>44682</v>
      </c>
      <c r="D45" s="26">
        <f t="shared" si="3"/>
        <v>17</v>
      </c>
      <c r="E45" s="34">
        <f t="shared" si="4"/>
        <v>826935.51278755674</v>
      </c>
      <c r="F45" s="107">
        <f t="shared" si="5"/>
        <v>-41404.1</v>
      </c>
      <c r="G45" s="47">
        <f t="shared" si="6"/>
        <v>2194.9168218910418</v>
      </c>
      <c r="H45" s="60">
        <f t="shared" si="7"/>
        <v>787726.32960944786</v>
      </c>
      <c r="J45" s="74">
        <f t="shared" si="0"/>
        <v>17</v>
      </c>
      <c r="K45" s="48">
        <f t="shared" si="8"/>
        <v>772357.9610166112</v>
      </c>
      <c r="L45" s="43">
        <f t="shared" si="12"/>
        <v>-38617.898050830598</v>
      </c>
      <c r="M45" s="75">
        <f t="shared" si="2"/>
        <v>733740.06296578061</v>
      </c>
      <c r="N45" s="32"/>
      <c r="O45" s="76">
        <f t="shared" si="9"/>
        <v>-650559.69999999984</v>
      </c>
      <c r="P45" s="39">
        <f t="shared" si="9"/>
        <v>48041.699779546812</v>
      </c>
      <c r="Q45" s="88">
        <f t="shared" si="10"/>
        <v>656504.26686412003</v>
      </c>
      <c r="R45" s="87"/>
    </row>
    <row r="46" spans="1:18" x14ac:dyDescent="0.45">
      <c r="A46" s="3">
        <v>41404.1</v>
      </c>
      <c r="B46" s="103">
        <f>A46/((1+$F$16)^($F$12-18))</f>
        <v>39321.748771871033</v>
      </c>
      <c r="C46" s="19">
        <f t="shared" si="11"/>
        <v>44713</v>
      </c>
      <c r="D46" s="26">
        <f t="shared" si="3"/>
        <v>18</v>
      </c>
      <c r="E46" s="34">
        <f t="shared" si="4"/>
        <v>787726.32960944786</v>
      </c>
      <c r="F46" s="107">
        <f t="shared" si="5"/>
        <v>-41404.1</v>
      </c>
      <c r="G46" s="47">
        <f t="shared" si="6"/>
        <v>2082.3512281289659</v>
      </c>
      <c r="H46" s="60">
        <f t="shared" si="7"/>
        <v>748404.58083757688</v>
      </c>
      <c r="J46" s="74">
        <f t="shared" si="0"/>
        <v>18</v>
      </c>
      <c r="K46" s="48">
        <f t="shared" si="8"/>
        <v>733740.06296578061</v>
      </c>
      <c r="L46" s="43">
        <f t="shared" si="12"/>
        <v>-38617.898050830598</v>
      </c>
      <c r="M46" s="75">
        <f t="shared" si="2"/>
        <v>695122.16491495003</v>
      </c>
      <c r="N46" s="32"/>
      <c r="O46" s="76">
        <f t="shared" ref="O46:P61" si="13">+O45+F46</f>
        <v>-691963.79999999981</v>
      </c>
      <c r="P46" s="39">
        <f t="shared" si="13"/>
        <v>50124.051007675778</v>
      </c>
      <c r="Q46" s="88">
        <f t="shared" si="10"/>
        <v>695122.16491495061</v>
      </c>
      <c r="R46" s="87"/>
    </row>
    <row r="47" spans="1:18" x14ac:dyDescent="0.45">
      <c r="A47" s="3">
        <v>41404.1</v>
      </c>
      <c r="B47" s="103">
        <f>A47/((1+$F$16)^($F$12-19))</f>
        <v>39434.637530052038</v>
      </c>
      <c r="C47" s="19">
        <f t="shared" si="11"/>
        <v>44743</v>
      </c>
      <c r="D47" s="26">
        <f t="shared" si="3"/>
        <v>19</v>
      </c>
      <c r="E47" s="34">
        <f t="shared" si="4"/>
        <v>748404.58083757688</v>
      </c>
      <c r="F47" s="107">
        <f t="shared" si="5"/>
        <v>-41404.1</v>
      </c>
      <c r="G47" s="47">
        <f t="shared" si="6"/>
        <v>1969.4624699479609</v>
      </c>
      <c r="H47" s="60">
        <f t="shared" si="7"/>
        <v>708969.9433075249</v>
      </c>
      <c r="J47" s="74">
        <f t="shared" si="0"/>
        <v>19</v>
      </c>
      <c r="K47" s="48">
        <f t="shared" si="8"/>
        <v>695122.16491495003</v>
      </c>
      <c r="L47" s="43">
        <f t="shared" si="12"/>
        <v>-38617.898050830598</v>
      </c>
      <c r="M47" s="75">
        <f t="shared" si="2"/>
        <v>656504.26686411945</v>
      </c>
      <c r="N47" s="32"/>
      <c r="O47" s="76">
        <f t="shared" si="13"/>
        <v>-733367.89999999979</v>
      </c>
      <c r="P47" s="39">
        <f t="shared" si="13"/>
        <v>52093.513477623739</v>
      </c>
      <c r="Q47" s="88">
        <f t="shared" si="10"/>
        <v>733740.0629657812</v>
      </c>
      <c r="R47" s="87"/>
    </row>
    <row r="48" spans="1:18" x14ac:dyDescent="0.45">
      <c r="A48" s="3">
        <v>41404.1</v>
      </c>
      <c r="B48" s="103">
        <f>A48/((1+$F$16)^($F$12-20))</f>
        <v>39547.850380424323</v>
      </c>
      <c r="C48" s="19">
        <f t="shared" si="11"/>
        <v>44774</v>
      </c>
      <c r="D48" s="26">
        <f t="shared" si="3"/>
        <v>20</v>
      </c>
      <c r="E48" s="34">
        <f t="shared" si="4"/>
        <v>708969.9433075249</v>
      </c>
      <c r="F48" s="107">
        <f t="shared" si="5"/>
        <v>-41404.1</v>
      </c>
      <c r="G48" s="47">
        <f t="shared" si="6"/>
        <v>1856.2496195756758</v>
      </c>
      <c r="H48" s="60">
        <f t="shared" si="7"/>
        <v>669422.0929271006</v>
      </c>
      <c r="J48" s="74">
        <f t="shared" si="0"/>
        <v>20</v>
      </c>
      <c r="K48" s="48">
        <f t="shared" si="8"/>
        <v>656504.26686411945</v>
      </c>
      <c r="L48" s="43">
        <f t="shared" si="12"/>
        <v>-38617.898050830598</v>
      </c>
      <c r="M48" s="75">
        <f t="shared" si="2"/>
        <v>617886.36881328886</v>
      </c>
      <c r="N48" s="32"/>
      <c r="O48" s="76">
        <f t="shared" si="13"/>
        <v>-774771.99999999977</v>
      </c>
      <c r="P48" s="39">
        <f t="shared" si="13"/>
        <v>53949.763097199415</v>
      </c>
      <c r="Q48" s="88">
        <f t="shared" si="10"/>
        <v>772357.96101661178</v>
      </c>
      <c r="R48" s="87"/>
    </row>
    <row r="49" spans="1:18" x14ac:dyDescent="0.45">
      <c r="A49" s="3">
        <v>41404.1</v>
      </c>
      <c r="B49" s="103">
        <f>A49/((1+$F$16)^($F$12-21))</f>
        <v>39661.388253423713</v>
      </c>
      <c r="C49" s="19">
        <f t="shared" si="11"/>
        <v>44805</v>
      </c>
      <c r="D49" s="26">
        <f t="shared" si="3"/>
        <v>21</v>
      </c>
      <c r="E49" s="34">
        <f t="shared" si="4"/>
        <v>669422.0929271006</v>
      </c>
      <c r="F49" s="107">
        <f t="shared" si="5"/>
        <v>-41404.1</v>
      </c>
      <c r="G49" s="47">
        <f t="shared" si="6"/>
        <v>1742.7117465762858</v>
      </c>
      <c r="H49" s="60">
        <f t="shared" si="7"/>
        <v>629760.70467367687</v>
      </c>
      <c r="J49" s="74">
        <f t="shared" si="0"/>
        <v>21</v>
      </c>
      <c r="K49" s="48">
        <f t="shared" si="8"/>
        <v>617886.36881328886</v>
      </c>
      <c r="L49" s="43">
        <f t="shared" si="12"/>
        <v>-38617.898050830598</v>
      </c>
      <c r="M49" s="75">
        <f t="shared" si="2"/>
        <v>579268.47076245828</v>
      </c>
      <c r="N49" s="80"/>
      <c r="O49" s="76">
        <f t="shared" si="13"/>
        <v>-816176.09999999974</v>
      </c>
      <c r="P49" s="39">
        <f t="shared" si="13"/>
        <v>55692.474843775701</v>
      </c>
      <c r="Q49" s="88">
        <f t="shared" si="10"/>
        <v>810975.85906744236</v>
      </c>
      <c r="R49" s="87"/>
    </row>
    <row r="50" spans="1:18" x14ac:dyDescent="0.45">
      <c r="A50" s="3">
        <v>41404.1</v>
      </c>
      <c r="B50" s="103">
        <f>A50/((1+$F$16)^($F$12-22))</f>
        <v>39775.252082157269</v>
      </c>
      <c r="C50" s="19">
        <f t="shared" si="11"/>
        <v>44835</v>
      </c>
      <c r="D50" s="26">
        <f t="shared" si="3"/>
        <v>22</v>
      </c>
      <c r="E50" s="34">
        <f t="shared" si="4"/>
        <v>629760.70467367687</v>
      </c>
      <c r="F50" s="107">
        <f t="shared" si="5"/>
        <v>-41404.1</v>
      </c>
      <c r="G50" s="47">
        <f t="shared" si="6"/>
        <v>1628.8479178427297</v>
      </c>
      <c r="H50" s="60">
        <f t="shared" si="7"/>
        <v>589985.45259151957</v>
      </c>
      <c r="J50" s="74">
        <f t="shared" si="0"/>
        <v>22</v>
      </c>
      <c r="K50" s="48">
        <f t="shared" si="8"/>
        <v>579268.47076245828</v>
      </c>
      <c r="L50" s="43">
        <f t="shared" si="12"/>
        <v>-38617.898050830598</v>
      </c>
      <c r="M50" s="75">
        <f t="shared" si="2"/>
        <v>540650.5727116277</v>
      </c>
      <c r="N50" s="32"/>
      <c r="O50" s="76">
        <f t="shared" si="13"/>
        <v>-857580.19999999972</v>
      </c>
      <c r="P50" s="39">
        <f t="shared" si="13"/>
        <v>57321.32276161843</v>
      </c>
      <c r="Q50" s="88">
        <f t="shared" si="10"/>
        <v>849593.75711827294</v>
      </c>
      <c r="R50" s="32"/>
    </row>
    <row r="51" spans="1:18" x14ac:dyDescent="0.45">
      <c r="A51" s="3">
        <v>41404.1</v>
      </c>
      <c r="B51" s="103">
        <f>A51/((1+$F$16)^($F$12-23))</f>
        <v>39889.442802410893</v>
      </c>
      <c r="C51" s="19">
        <f t="shared" si="11"/>
        <v>44866</v>
      </c>
      <c r="D51" s="26">
        <f t="shared" si="3"/>
        <v>23</v>
      </c>
      <c r="E51" s="34">
        <f t="shared" si="4"/>
        <v>589985.45259151957</v>
      </c>
      <c r="F51" s="107">
        <f t="shared" si="5"/>
        <v>-41404.1</v>
      </c>
      <c r="G51" s="47">
        <f t="shared" si="6"/>
        <v>1514.6571975891056</v>
      </c>
      <c r="H51" s="60">
        <f t="shared" si="7"/>
        <v>550096.00978910865</v>
      </c>
      <c r="J51" s="74">
        <f t="shared" si="0"/>
        <v>23</v>
      </c>
      <c r="K51" s="48">
        <f t="shared" si="8"/>
        <v>540650.5727116277</v>
      </c>
      <c r="L51" s="43">
        <f t="shared" si="12"/>
        <v>-38617.898050830598</v>
      </c>
      <c r="M51" s="75">
        <f t="shared" si="2"/>
        <v>502032.67466079711</v>
      </c>
      <c r="N51" s="32"/>
      <c r="O51" s="76">
        <f t="shared" si="13"/>
        <v>-898984.2999999997</v>
      </c>
      <c r="P51" s="39">
        <f t="shared" si="13"/>
        <v>58835.979959207536</v>
      </c>
      <c r="Q51" s="88">
        <f t="shared" si="10"/>
        <v>888211.65516910353</v>
      </c>
      <c r="R51" s="32"/>
    </row>
    <row r="52" spans="1:18" x14ac:dyDescent="0.45">
      <c r="A52" s="3">
        <v>41404.1</v>
      </c>
      <c r="B52" s="103">
        <f>A52/((1+$F$16)^($F$12-24))</f>
        <v>40003.96135265701</v>
      </c>
      <c r="C52" s="19">
        <f t="shared" si="11"/>
        <v>44896</v>
      </c>
      <c r="D52" s="26">
        <f t="shared" si="3"/>
        <v>24</v>
      </c>
      <c r="E52" s="34">
        <f t="shared" si="4"/>
        <v>550096.00978910865</v>
      </c>
      <c r="F52" s="107">
        <f t="shared" si="5"/>
        <v>-41404.1</v>
      </c>
      <c r="G52" s="47">
        <f t="shared" si="6"/>
        <v>1400.1386473429884</v>
      </c>
      <c r="H52" s="60">
        <f t="shared" si="7"/>
        <v>510092.04843645165</v>
      </c>
      <c r="J52" s="74">
        <f t="shared" si="0"/>
        <v>24</v>
      </c>
      <c r="K52" s="48">
        <f t="shared" si="8"/>
        <v>502032.67466079711</v>
      </c>
      <c r="L52" s="43">
        <f t="shared" si="12"/>
        <v>-38617.898050830598</v>
      </c>
      <c r="M52" s="75">
        <f t="shared" si="2"/>
        <v>463414.77660996653</v>
      </c>
      <c r="N52" s="32"/>
      <c r="O52" s="76">
        <f t="shared" si="13"/>
        <v>-940388.39999999967</v>
      </c>
      <c r="P52" s="39">
        <f t="shared" si="13"/>
        <v>60236.118606550524</v>
      </c>
      <c r="Q52" s="88">
        <f t="shared" si="10"/>
        <v>926829.55321993411</v>
      </c>
      <c r="R52" s="32"/>
    </row>
    <row r="53" spans="1:18" x14ac:dyDescent="0.45">
      <c r="A53" s="3">
        <v>43181.1</v>
      </c>
      <c r="B53" s="103">
        <f>A53/((1+$F$16)^($F$12-25))</f>
        <v>41840.645956210938</v>
      </c>
      <c r="C53" s="19">
        <f t="shared" si="11"/>
        <v>44927</v>
      </c>
      <c r="D53" s="26">
        <f t="shared" si="3"/>
        <v>25</v>
      </c>
      <c r="E53" s="34">
        <f t="shared" si="4"/>
        <v>510092.04843645165</v>
      </c>
      <c r="F53" s="107">
        <f t="shared" si="5"/>
        <v>-43181.1</v>
      </c>
      <c r="G53" s="47">
        <f t="shared" si="6"/>
        <v>1340.454043789061</v>
      </c>
      <c r="H53" s="60">
        <f t="shared" si="7"/>
        <v>468251.40248024074</v>
      </c>
      <c r="J53" s="74">
        <f t="shared" si="0"/>
        <v>25</v>
      </c>
      <c r="K53" s="48">
        <f t="shared" si="8"/>
        <v>463414.77660996653</v>
      </c>
      <c r="L53" s="43">
        <f t="shared" si="12"/>
        <v>-38617.898050830598</v>
      </c>
      <c r="M53" s="75">
        <f t="shared" si="2"/>
        <v>424796.87855913595</v>
      </c>
      <c r="N53" s="32"/>
      <c r="O53" s="76">
        <f t="shared" si="13"/>
        <v>-983569.49999999965</v>
      </c>
      <c r="P53" s="39">
        <f t="shared" si="13"/>
        <v>61576.572650339585</v>
      </c>
      <c r="Q53" s="88">
        <f t="shared" si="10"/>
        <v>965447.45127076469</v>
      </c>
      <c r="R53" s="32"/>
    </row>
    <row r="54" spans="1:18" x14ac:dyDescent="0.45">
      <c r="A54" s="3">
        <v>43181.1</v>
      </c>
      <c r="B54" s="103">
        <f>A54/((1+$F$16)^($F$12-26))</f>
        <v>41960.766213091963</v>
      </c>
      <c r="C54" s="19">
        <f t="shared" si="11"/>
        <v>44958</v>
      </c>
      <c r="D54" s="26">
        <f t="shared" si="3"/>
        <v>26</v>
      </c>
      <c r="E54" s="34">
        <f t="shared" si="4"/>
        <v>468251.40248024074</v>
      </c>
      <c r="F54" s="107">
        <f t="shared" si="5"/>
        <v>-43181.1</v>
      </c>
      <c r="G54" s="47">
        <f t="shared" si="6"/>
        <v>1220.3337869080351</v>
      </c>
      <c r="H54" s="60">
        <f t="shared" si="7"/>
        <v>426290.63626714877</v>
      </c>
      <c r="J54" s="74">
        <f t="shared" si="0"/>
        <v>26</v>
      </c>
      <c r="K54" s="48">
        <f t="shared" si="8"/>
        <v>424796.87855913595</v>
      </c>
      <c r="L54" s="43">
        <f t="shared" si="12"/>
        <v>-38617.898050830598</v>
      </c>
      <c r="M54" s="75">
        <f t="shared" si="2"/>
        <v>386178.98050830537</v>
      </c>
      <c r="N54" s="32"/>
      <c r="O54" s="76">
        <f t="shared" si="13"/>
        <v>-1026750.5999999996</v>
      </c>
      <c r="P54" s="39">
        <f t="shared" si="13"/>
        <v>62796.90643724762</v>
      </c>
      <c r="Q54" s="88">
        <f t="shared" si="10"/>
        <v>1004065.3493215953</v>
      </c>
      <c r="R54" s="32"/>
    </row>
    <row r="55" spans="1:18" x14ac:dyDescent="0.45">
      <c r="A55" s="3">
        <v>43181.1</v>
      </c>
      <c r="B55" s="103">
        <f>A55/((1+$F$16)^($F$12-27))</f>
        <v>42081.231323064596</v>
      </c>
      <c r="C55" s="19">
        <f t="shared" si="11"/>
        <v>44986</v>
      </c>
      <c r="D55" s="26">
        <f t="shared" si="3"/>
        <v>27</v>
      </c>
      <c r="E55" s="34">
        <f t="shared" si="4"/>
        <v>426290.63626714877</v>
      </c>
      <c r="F55" s="107">
        <f t="shared" si="5"/>
        <v>-43181.1</v>
      </c>
      <c r="G55" s="47">
        <f t="shared" si="6"/>
        <v>1099.8686769354026</v>
      </c>
      <c r="H55" s="60">
        <f t="shared" si="7"/>
        <v>384209.40494408418</v>
      </c>
      <c r="J55" s="74">
        <f t="shared" si="0"/>
        <v>27</v>
      </c>
      <c r="K55" s="48">
        <f t="shared" si="8"/>
        <v>386178.98050830537</v>
      </c>
      <c r="L55" s="43">
        <f t="shared" si="12"/>
        <v>-38617.898050830598</v>
      </c>
      <c r="M55" s="75">
        <f t="shared" si="2"/>
        <v>347561.08245747478</v>
      </c>
      <c r="N55" s="32"/>
      <c r="O55" s="76">
        <f t="shared" si="13"/>
        <v>-1069931.6999999997</v>
      </c>
      <c r="P55" s="39">
        <f t="shared" si="13"/>
        <v>63896.775114183023</v>
      </c>
      <c r="Q55" s="88">
        <f t="shared" si="10"/>
        <v>1042683.2473724259</v>
      </c>
      <c r="R55" s="32"/>
    </row>
    <row r="56" spans="1:18" x14ac:dyDescent="0.45">
      <c r="A56" s="3">
        <v>43181.1</v>
      </c>
      <c r="B56" s="103">
        <f>A56/((1+$F$16)^($F$12-28))</f>
        <v>42202.042276167158</v>
      </c>
      <c r="C56" s="19">
        <f t="shared" si="11"/>
        <v>45017</v>
      </c>
      <c r="D56" s="26">
        <f t="shared" si="3"/>
        <v>28</v>
      </c>
      <c r="E56" s="34">
        <f t="shared" si="4"/>
        <v>384209.40494408418</v>
      </c>
      <c r="F56" s="107">
        <f t="shared" si="5"/>
        <v>-43181.1</v>
      </c>
      <c r="G56" s="47">
        <f t="shared" si="6"/>
        <v>979.05772383284057</v>
      </c>
      <c r="H56" s="60">
        <f t="shared" si="7"/>
        <v>342007.36266791704</v>
      </c>
      <c r="J56" s="74">
        <f t="shared" si="0"/>
        <v>28</v>
      </c>
      <c r="K56" s="48">
        <f t="shared" si="8"/>
        <v>347561.08245747478</v>
      </c>
      <c r="L56" s="43">
        <f t="shared" si="12"/>
        <v>-38617.898050830598</v>
      </c>
      <c r="M56" s="75">
        <f t="shared" si="2"/>
        <v>308943.1844066442</v>
      </c>
      <c r="N56" s="32"/>
      <c r="O56" s="76">
        <f t="shared" si="13"/>
        <v>-1113112.7999999998</v>
      </c>
      <c r="P56" s="39">
        <f t="shared" si="13"/>
        <v>64875.832838015864</v>
      </c>
      <c r="Q56" s="88">
        <f t="shared" si="10"/>
        <v>1081301.1454232566</v>
      </c>
      <c r="R56" s="32"/>
    </row>
    <row r="57" spans="1:18" x14ac:dyDescent="0.45">
      <c r="A57" s="3">
        <v>43181.1</v>
      </c>
      <c r="B57" s="103">
        <f>A57/((1+$F$16)^($F$12-29))</f>
        <v>42323.200065280216</v>
      </c>
      <c r="C57" s="19">
        <f t="shared" si="11"/>
        <v>45047</v>
      </c>
      <c r="D57" s="26">
        <f t="shared" si="3"/>
        <v>29</v>
      </c>
      <c r="E57" s="34">
        <f t="shared" si="4"/>
        <v>342007.36266791704</v>
      </c>
      <c r="F57" s="107">
        <f t="shared" si="5"/>
        <v>-43181.1</v>
      </c>
      <c r="G57" s="47">
        <f t="shared" si="6"/>
        <v>857.89993471978232</v>
      </c>
      <c r="H57" s="60">
        <f t="shared" si="7"/>
        <v>299684.16260263685</v>
      </c>
      <c r="J57" s="74">
        <f t="shared" si="0"/>
        <v>29</v>
      </c>
      <c r="K57" s="48">
        <f t="shared" si="8"/>
        <v>308943.1844066442</v>
      </c>
      <c r="L57" s="43">
        <f t="shared" si="12"/>
        <v>-38617.898050830598</v>
      </c>
      <c r="M57" s="75">
        <f t="shared" si="2"/>
        <v>270325.28635581362</v>
      </c>
      <c r="N57" s="32"/>
      <c r="O57" s="76">
        <f t="shared" si="13"/>
        <v>-1156293.8999999999</v>
      </c>
      <c r="P57" s="39">
        <f t="shared" si="13"/>
        <v>65733.732772735646</v>
      </c>
      <c r="Q57" s="88">
        <f t="shared" si="10"/>
        <v>1119919.0434740873</v>
      </c>
      <c r="R57" s="32"/>
    </row>
    <row r="58" spans="1:18" x14ac:dyDescent="0.45">
      <c r="A58" s="3">
        <v>43181.1</v>
      </c>
      <c r="B58" s="103">
        <f>A58/((1+$F$16)^($F$12-30))</f>
        <v>42444.705686134854</v>
      </c>
      <c r="C58" s="19">
        <f t="shared" si="11"/>
        <v>45078</v>
      </c>
      <c r="D58" s="26">
        <f t="shared" si="3"/>
        <v>30</v>
      </c>
      <c r="E58" s="34">
        <f t="shared" si="4"/>
        <v>299684.16260263685</v>
      </c>
      <c r="F58" s="107">
        <f t="shared" si="5"/>
        <v>-43181.1</v>
      </c>
      <c r="G58" s="47">
        <f t="shared" si="6"/>
        <v>736.3943138651448</v>
      </c>
      <c r="H58" s="60">
        <f t="shared" si="7"/>
        <v>257239.45691650198</v>
      </c>
      <c r="J58" s="74">
        <f t="shared" si="0"/>
        <v>30</v>
      </c>
      <c r="K58" s="48">
        <f t="shared" si="8"/>
        <v>270325.28635581362</v>
      </c>
      <c r="L58" s="43">
        <f t="shared" si="12"/>
        <v>-38617.898050830598</v>
      </c>
      <c r="M58" s="75">
        <f t="shared" si="2"/>
        <v>231707.38830498303</v>
      </c>
      <c r="N58" s="32"/>
      <c r="O58" s="76">
        <f t="shared" si="13"/>
        <v>-1199475</v>
      </c>
      <c r="P58" s="39">
        <f t="shared" si="13"/>
        <v>66470.127086600784</v>
      </c>
      <c r="Q58" s="88">
        <f t="shared" si="10"/>
        <v>1158536.941524918</v>
      </c>
      <c r="R58" s="32"/>
    </row>
    <row r="59" spans="1:18" x14ac:dyDescent="0.45">
      <c r="A59" s="3">
        <v>43181.1</v>
      </c>
      <c r="B59" s="103">
        <f>A59/((1+$F$16)^($F$12-31))</f>
        <v>42566.560137320768</v>
      </c>
      <c r="C59" s="19">
        <f t="shared" si="11"/>
        <v>45108</v>
      </c>
      <c r="D59" s="26">
        <f t="shared" si="3"/>
        <v>31</v>
      </c>
      <c r="E59" s="34">
        <f t="shared" si="4"/>
        <v>257239.45691650198</v>
      </c>
      <c r="F59" s="107">
        <f t="shared" si="5"/>
        <v>-43181.1</v>
      </c>
      <c r="G59" s="47">
        <f t="shared" si="6"/>
        <v>614.53986267923028</v>
      </c>
      <c r="H59" s="60">
        <f t="shared" si="7"/>
        <v>214672.8967791812</v>
      </c>
      <c r="J59" s="74">
        <f t="shared" si="0"/>
        <v>31</v>
      </c>
      <c r="K59" s="48">
        <f t="shared" si="8"/>
        <v>231707.38830498303</v>
      </c>
      <c r="L59" s="43">
        <f t="shared" si="12"/>
        <v>-38617.898050830598</v>
      </c>
      <c r="M59" s="75">
        <f t="shared" si="2"/>
        <v>193089.49025415245</v>
      </c>
      <c r="N59" s="32"/>
      <c r="O59" s="76">
        <f t="shared" si="13"/>
        <v>-1242656.1000000001</v>
      </c>
      <c r="P59" s="39">
        <f t="shared" si="13"/>
        <v>67084.666949280014</v>
      </c>
      <c r="Q59" s="88">
        <f t="shared" si="10"/>
        <v>1197154.8395757487</v>
      </c>
      <c r="R59" s="32"/>
    </row>
    <row r="60" spans="1:18" x14ac:dyDescent="0.45">
      <c r="A60" s="3">
        <v>43181.1</v>
      </c>
      <c r="B60" s="103">
        <f>A60/((1+$F$16)^($F$12-32))</f>
        <v>42688.764420294501</v>
      </c>
      <c r="C60" s="19">
        <f t="shared" si="11"/>
        <v>45139</v>
      </c>
      <c r="D60" s="26">
        <f t="shared" si="3"/>
        <v>32</v>
      </c>
      <c r="E60" s="34">
        <f t="shared" si="4"/>
        <v>214672.8967791812</v>
      </c>
      <c r="F60" s="107">
        <f t="shared" si="5"/>
        <v>-43181.1</v>
      </c>
      <c r="G60" s="47">
        <f t="shared" si="6"/>
        <v>492.33557970549737</v>
      </c>
      <c r="H60" s="60">
        <f t="shared" si="7"/>
        <v>171984.13235888671</v>
      </c>
      <c r="J60" s="74">
        <f t="shared" si="0"/>
        <v>32</v>
      </c>
      <c r="K60" s="48">
        <f t="shared" si="8"/>
        <v>193089.49025415245</v>
      </c>
      <c r="L60" s="43">
        <f t="shared" si="12"/>
        <v>-38617.898050830598</v>
      </c>
      <c r="M60" s="75">
        <f t="shared" si="2"/>
        <v>154471.59220332187</v>
      </c>
      <c r="N60" s="32"/>
      <c r="O60" s="76">
        <f t="shared" si="13"/>
        <v>-1285837.2000000002</v>
      </c>
      <c r="P60" s="39">
        <f t="shared" si="13"/>
        <v>67577.002528985511</v>
      </c>
      <c r="Q60" s="88">
        <f t="shared" si="10"/>
        <v>1235772.7376265794</v>
      </c>
      <c r="R60" s="32"/>
    </row>
    <row r="61" spans="1:18" x14ac:dyDescent="0.45">
      <c r="A61" s="3">
        <v>43181.1</v>
      </c>
      <c r="B61" s="103">
        <f>A61/((1+$F$16)^($F$12-33))</f>
        <v>42811.319539387681</v>
      </c>
      <c r="C61" s="19">
        <f t="shared" si="11"/>
        <v>45170</v>
      </c>
      <c r="D61" s="26">
        <f t="shared" si="3"/>
        <v>33</v>
      </c>
      <c r="E61" s="34">
        <f t="shared" si="4"/>
        <v>171984.13235888671</v>
      </c>
      <c r="F61" s="107">
        <f t="shared" si="5"/>
        <v>-43181.1</v>
      </c>
      <c r="G61" s="47">
        <f t="shared" si="6"/>
        <v>369.78046061231726</v>
      </c>
      <c r="H61" s="60">
        <f t="shared" si="7"/>
        <v>129172.81281949903</v>
      </c>
      <c r="J61" s="74">
        <f t="shared" si="0"/>
        <v>33</v>
      </c>
      <c r="K61" s="48">
        <f t="shared" si="8"/>
        <v>154471.59220332187</v>
      </c>
      <c r="L61" s="43">
        <f t="shared" si="12"/>
        <v>-38617.898050830598</v>
      </c>
      <c r="M61" s="75">
        <f t="shared" si="2"/>
        <v>115853.69415249127</v>
      </c>
      <c r="N61" s="32"/>
      <c r="O61" s="76">
        <f t="shared" si="13"/>
        <v>-1329018.3000000003</v>
      </c>
      <c r="P61" s="39">
        <f t="shared" si="13"/>
        <v>67946.782989597821</v>
      </c>
      <c r="Q61" s="88">
        <f t="shared" si="10"/>
        <v>1274390.6356774101</v>
      </c>
      <c r="R61" s="32"/>
    </row>
    <row r="62" spans="1:18" x14ac:dyDescent="0.45">
      <c r="A62" s="3">
        <v>43181.1</v>
      </c>
      <c r="B62" s="103">
        <f>A62/((1+$F$16)^($F$12-34))</f>
        <v>42934.22650181529</v>
      </c>
      <c r="C62" s="19">
        <f t="shared" si="11"/>
        <v>45200</v>
      </c>
      <c r="D62" s="26">
        <f t="shared" si="3"/>
        <v>34</v>
      </c>
      <c r="E62" s="34">
        <f t="shared" si="4"/>
        <v>129172.81281949903</v>
      </c>
      <c r="F62" s="107">
        <f t="shared" si="5"/>
        <v>-43181.1</v>
      </c>
      <c r="G62" s="47">
        <f t="shared" si="6"/>
        <v>246.8734981847083</v>
      </c>
      <c r="H62" s="60">
        <f t="shared" si="7"/>
        <v>86238.58631768373</v>
      </c>
      <c r="J62" s="74">
        <f t="shared" si="0"/>
        <v>34</v>
      </c>
      <c r="K62" s="48">
        <f t="shared" si="8"/>
        <v>115853.69415249127</v>
      </c>
      <c r="L62" s="43">
        <f t="shared" si="12"/>
        <v>-38617.898050830598</v>
      </c>
      <c r="M62" s="75">
        <f t="shared" si="2"/>
        <v>77235.796101660671</v>
      </c>
      <c r="N62" s="32"/>
      <c r="O62" s="76">
        <f t="shared" ref="O62:P64" si="14">+O61+F62</f>
        <v>-1372199.4000000004</v>
      </c>
      <c r="P62" s="39">
        <f t="shared" si="14"/>
        <v>68193.656487782529</v>
      </c>
      <c r="Q62" s="88">
        <f t="shared" si="10"/>
        <v>1313008.5337282408</v>
      </c>
      <c r="R62" s="32"/>
    </row>
    <row r="63" spans="1:18" x14ac:dyDescent="0.45">
      <c r="A63" s="3">
        <v>43181.1</v>
      </c>
      <c r="B63" s="103">
        <f>A63/((1+$F$16)^($F$12-35))</f>
        <v>43057.486317683899</v>
      </c>
      <c r="C63" s="19">
        <f t="shared" si="11"/>
        <v>45231</v>
      </c>
      <c r="D63" s="26">
        <f t="shared" si="3"/>
        <v>35</v>
      </c>
      <c r="E63" s="34">
        <f t="shared" si="4"/>
        <v>86238.58631768373</v>
      </c>
      <c r="F63" s="107">
        <f t="shared" si="5"/>
        <v>-43181.1</v>
      </c>
      <c r="G63" s="47">
        <f t="shared" si="6"/>
        <v>123.61368231609958</v>
      </c>
      <c r="H63" s="60">
        <f t="shared" si="7"/>
        <v>43181.099999999831</v>
      </c>
      <c r="J63" s="74">
        <f t="shared" si="0"/>
        <v>35</v>
      </c>
      <c r="K63" s="48">
        <f t="shared" si="8"/>
        <v>77235.796101660671</v>
      </c>
      <c r="L63" s="43">
        <f t="shared" si="12"/>
        <v>-38617.898050830598</v>
      </c>
      <c r="M63" s="75">
        <f t="shared" si="2"/>
        <v>38617.898050830074</v>
      </c>
      <c r="N63" s="32"/>
      <c r="O63" s="76">
        <f t="shared" si="14"/>
        <v>-1415380.5000000005</v>
      </c>
      <c r="P63" s="39">
        <f t="shared" si="14"/>
        <v>68317.270170098636</v>
      </c>
      <c r="Q63" s="88">
        <f t="shared" si="10"/>
        <v>1351626.4317790715</v>
      </c>
      <c r="R63" s="32"/>
    </row>
    <row r="64" spans="1:18" x14ac:dyDescent="0.45">
      <c r="A64" s="3">
        <v>43181.1</v>
      </c>
      <c r="B64" s="103">
        <f>A64/((1+$F$16)^($F$12-36))</f>
        <v>43181.1</v>
      </c>
      <c r="C64" s="19">
        <f t="shared" si="11"/>
        <v>45261</v>
      </c>
      <c r="D64" s="26">
        <f t="shared" si="3"/>
        <v>36</v>
      </c>
      <c r="E64" s="34">
        <f t="shared" si="4"/>
        <v>43181.099999999831</v>
      </c>
      <c r="F64" s="107">
        <f t="shared" si="5"/>
        <v>-43181.1</v>
      </c>
      <c r="G64" s="47">
        <f t="shared" si="6"/>
        <v>0</v>
      </c>
      <c r="H64" s="60">
        <f t="shared" si="7"/>
        <v>-1.673470251262188E-10</v>
      </c>
      <c r="J64" s="74">
        <f t="shared" si="0"/>
        <v>36</v>
      </c>
      <c r="K64" s="48">
        <f t="shared" si="8"/>
        <v>38617.898050830074</v>
      </c>
      <c r="L64" s="43">
        <f t="shared" si="12"/>
        <v>-38617.898050830598</v>
      </c>
      <c r="M64" s="75">
        <f t="shared" si="2"/>
        <v>-5.2386894822120667E-10</v>
      </c>
      <c r="N64" s="32"/>
      <c r="O64" s="76">
        <f t="shared" si="14"/>
        <v>-1458561.6000000006</v>
      </c>
      <c r="P64" s="39">
        <f t="shared" si="14"/>
        <v>68317.270170098636</v>
      </c>
      <c r="Q64" s="88">
        <f t="shared" si="10"/>
        <v>1390244.3298299022</v>
      </c>
      <c r="R64" s="32"/>
    </row>
    <row r="65" spans="2:18" x14ac:dyDescent="0.45">
      <c r="B65" s="7"/>
      <c r="C65" s="19">
        <f t="shared" si="11"/>
        <v>45292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45323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45352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45383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45413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45444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45474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45505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45536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45566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45597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45627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45658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45689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45717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45748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45778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45809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45839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45870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45901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45931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45962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45992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46023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46054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46082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46113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46143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46174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5">DATE(YEAR(C94),MONTH(C94)+1,DAY(C94))</f>
        <v>46204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5"/>
        <v>46235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5"/>
        <v>46266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5"/>
        <v>46296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5"/>
        <v>46327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5"/>
        <v>46357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5"/>
        <v>46388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5"/>
        <v>46419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5"/>
        <v>46447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5"/>
        <v>46478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5"/>
        <v>46508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5"/>
        <v>46539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5"/>
        <v>46569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-1458561.6000000006</v>
      </c>
      <c r="G110" s="43">
        <f>SUM(G29:G107)</f>
        <v>68317.270170098636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1390244.3298299015</v>
      </c>
      <c r="G116" s="119">
        <f>INDEX(M:M,MATCH(DATE(2021,12,DAY(D10)),C:C))</f>
        <v>926829.55321993353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-407591.30930266267</v>
      </c>
      <c r="G119" s="113">
        <f ca="1">IFERROR(SUM(INDIRECT("F"&amp;MATCH(DATE(2022,1,DAY(D10)),C:C)):INDIRECT("G"&amp;MATCH(DATE(2022,1,DAY(D10)),C:C)+11)),VALUE("0"))</f>
        <v>-472560.97209078656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-982653.02052723826</v>
      </c>
      <c r="G123" s="113">
        <f ca="1">IFERROR(SUM(INDIRECT("F"&amp;MATCH(DATE(2023,1,DAY(D10)),C:C)):G107),VALUE("0"))</f>
        <v>-510092.04843645176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-496849.1999999999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-518173.1999999999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C65E4-602E-4BB0-8627-8426E0AB7928}">
  <dimension ref="A1:R130"/>
  <sheetViews>
    <sheetView topLeftCell="A106" zoomScale="85" zoomScaleNormal="85" workbookViewId="0">
      <selection activeCell="F116" sqref="F116"/>
    </sheetView>
  </sheetViews>
  <sheetFormatPr defaultRowHeight="14.25" x14ac:dyDescent="0.45"/>
  <cols>
    <col min="1" max="1" width="13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118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44180</v>
      </c>
      <c r="E10" s="12">
        <f>VLOOKUP($C$2,'Lease Summary'!D:H,4,FALSE)</f>
        <v>45274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24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311602.69114151434</v>
      </c>
      <c r="J22" s="17" t="s">
        <v>234</v>
      </c>
      <c r="K22" s="22"/>
      <c r="L22" s="7"/>
      <c r="M22" s="65">
        <f>H22</f>
        <v>311602.69114151434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311602.69114151434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v>8197.42</v>
      </c>
      <c r="B29" s="103">
        <f>A29/((1+$F$16)^($F$12-1))</f>
        <v>7414.8294601796115</v>
      </c>
      <c r="C29" s="19">
        <f>D10</f>
        <v>44180</v>
      </c>
      <c r="D29" s="27">
        <v>1</v>
      </c>
      <c r="E29" s="33">
        <f>A28</f>
        <v>311602.69114151434</v>
      </c>
      <c r="F29" s="106">
        <f>-A29</f>
        <v>-8197.42</v>
      </c>
      <c r="G29" s="46">
        <f>A29-B29</f>
        <v>782.59053982038859</v>
      </c>
      <c r="H29" s="59">
        <f>SUM(E29:G29)</f>
        <v>304187.86168133473</v>
      </c>
      <c r="J29" s="69">
        <f t="shared" ref="J29:J64" si="0">D29</f>
        <v>1</v>
      </c>
      <c r="K29" s="70">
        <f>M22</f>
        <v>311602.69114151434</v>
      </c>
      <c r="L29" s="42">
        <f t="shared" ref="L29:L40" si="1">-$M$22/$F$12</f>
        <v>-8655.6303094865088</v>
      </c>
      <c r="M29" s="71">
        <f t="shared" ref="M29:M64" si="2">K29+L29</f>
        <v>302947.06083202781</v>
      </c>
      <c r="N29" s="32"/>
      <c r="O29" s="72">
        <f>+F29</f>
        <v>-8197.42</v>
      </c>
      <c r="P29" s="73">
        <f>+G29</f>
        <v>782.59053982038859</v>
      </c>
      <c r="Q29" s="71">
        <f>-L29</f>
        <v>8655.6303094865088</v>
      </c>
      <c r="R29" s="85"/>
    </row>
    <row r="30" spans="1:18" x14ac:dyDescent="0.45">
      <c r="A30" s="3">
        <v>8197.42</v>
      </c>
      <c r="B30" s="103">
        <f>A30/((1+$F$16)^($F$12-2))</f>
        <v>7436.1166845790131</v>
      </c>
      <c r="C30" s="19">
        <f>DATE(YEAR(C29),MONTH(C29)+1,DAY(C29))</f>
        <v>44211</v>
      </c>
      <c r="D30" s="26">
        <f t="shared" ref="D30:D64" si="3">D29+1</f>
        <v>2</v>
      </c>
      <c r="E30" s="34">
        <f t="shared" ref="E30:E64" si="4">H29</f>
        <v>304187.86168133473</v>
      </c>
      <c r="F30" s="107">
        <f t="shared" ref="F30:F64" si="5">-A30</f>
        <v>-8197.42</v>
      </c>
      <c r="G30" s="47">
        <f t="shared" ref="G30:G64" si="6">A30-B30</f>
        <v>761.30331542098702</v>
      </c>
      <c r="H30" s="60">
        <f t="shared" ref="H30:H64" si="7">SUM(E30:G30)</f>
        <v>296751.74499675573</v>
      </c>
      <c r="J30" s="74">
        <f t="shared" si="0"/>
        <v>2</v>
      </c>
      <c r="K30" s="48">
        <f t="shared" ref="K30:K64" si="8">M29</f>
        <v>302947.06083202781</v>
      </c>
      <c r="L30" s="43">
        <f t="shared" si="1"/>
        <v>-8655.6303094865088</v>
      </c>
      <c r="M30" s="75">
        <f t="shared" si="2"/>
        <v>294291.43052254128</v>
      </c>
      <c r="N30" s="32"/>
      <c r="O30" s="76">
        <f t="shared" ref="O30:P45" si="9">+O29+F30</f>
        <v>-16394.84</v>
      </c>
      <c r="P30" s="77">
        <f t="shared" si="9"/>
        <v>1543.8938552413756</v>
      </c>
      <c r="Q30" s="75">
        <f t="shared" ref="Q30:Q64" si="10">+Q29-L30</f>
        <v>17311.260618973018</v>
      </c>
      <c r="R30" s="86"/>
    </row>
    <row r="31" spans="1:18" x14ac:dyDescent="0.45">
      <c r="A31" s="3">
        <v>8197.42</v>
      </c>
      <c r="B31" s="103">
        <f>A31/((1+$F$16)^($F$12-3))</f>
        <v>7457.4650224436755</v>
      </c>
      <c r="C31" s="19">
        <f t="shared" ref="C31:C94" si="11">DATE(YEAR(C30),MONTH(C30)+1,DAY(C30))</f>
        <v>44242</v>
      </c>
      <c r="D31" s="26">
        <f t="shared" si="3"/>
        <v>3</v>
      </c>
      <c r="E31" s="34">
        <f t="shared" si="4"/>
        <v>296751.74499675573</v>
      </c>
      <c r="F31" s="107">
        <f t="shared" si="5"/>
        <v>-8197.42</v>
      </c>
      <c r="G31" s="47">
        <f t="shared" si="6"/>
        <v>739.95497755632459</v>
      </c>
      <c r="H31" s="60">
        <f t="shared" si="7"/>
        <v>289294.27997431206</v>
      </c>
      <c r="J31" s="74">
        <f t="shared" si="0"/>
        <v>3</v>
      </c>
      <c r="K31" s="48">
        <f t="shared" si="8"/>
        <v>294291.43052254128</v>
      </c>
      <c r="L31" s="43">
        <f t="shared" si="1"/>
        <v>-8655.6303094865088</v>
      </c>
      <c r="M31" s="75">
        <f t="shared" si="2"/>
        <v>285635.80021305475</v>
      </c>
      <c r="N31" s="32"/>
      <c r="O31" s="76">
        <f t="shared" si="9"/>
        <v>-24592.260000000002</v>
      </c>
      <c r="P31" s="39">
        <f t="shared" si="9"/>
        <v>2283.8488327977002</v>
      </c>
      <c r="Q31" s="88">
        <f t="shared" si="10"/>
        <v>25966.890928459528</v>
      </c>
      <c r="R31" s="86"/>
    </row>
    <row r="32" spans="1:18" x14ac:dyDescent="0.45">
      <c r="A32" s="3">
        <v>8197.42</v>
      </c>
      <c r="B32" s="103">
        <f>A32/((1+$F$16)^($F$12-4))</f>
        <v>7478.8746492241671</v>
      </c>
      <c r="C32" s="19">
        <f t="shared" si="11"/>
        <v>44270</v>
      </c>
      <c r="D32" s="26">
        <f t="shared" si="3"/>
        <v>4</v>
      </c>
      <c r="E32" s="34">
        <f t="shared" si="4"/>
        <v>289294.27997431206</v>
      </c>
      <c r="F32" s="107">
        <f t="shared" si="5"/>
        <v>-8197.42</v>
      </c>
      <c r="G32" s="47">
        <f t="shared" si="6"/>
        <v>718.54535077583296</v>
      </c>
      <c r="H32" s="60">
        <f t="shared" si="7"/>
        <v>281815.40532508789</v>
      </c>
      <c r="J32" s="74">
        <f t="shared" si="0"/>
        <v>4</v>
      </c>
      <c r="K32" s="48">
        <f t="shared" si="8"/>
        <v>285635.80021305475</v>
      </c>
      <c r="L32" s="43">
        <f t="shared" si="1"/>
        <v>-8655.6303094865088</v>
      </c>
      <c r="M32" s="75">
        <f t="shared" si="2"/>
        <v>276980.16990356822</v>
      </c>
      <c r="N32" s="32"/>
      <c r="O32" s="76">
        <f t="shared" si="9"/>
        <v>-32789.68</v>
      </c>
      <c r="P32" s="39">
        <f t="shared" si="9"/>
        <v>3002.3941835735332</v>
      </c>
      <c r="Q32" s="88">
        <f t="shared" si="10"/>
        <v>34622.521237946035</v>
      </c>
      <c r="R32" s="86"/>
    </row>
    <row r="33" spans="1:18" x14ac:dyDescent="0.45">
      <c r="A33" s="3">
        <v>8197.42</v>
      </c>
      <c r="B33" s="103">
        <f>A33/((1+$F$16)^($F$12-5))</f>
        <v>7500.3457408747581</v>
      </c>
      <c r="C33" s="19">
        <f t="shared" si="11"/>
        <v>44301</v>
      </c>
      <c r="D33" s="26">
        <f t="shared" si="3"/>
        <v>5</v>
      </c>
      <c r="E33" s="34">
        <f t="shared" si="4"/>
        <v>281815.40532508789</v>
      </c>
      <c r="F33" s="107">
        <f t="shared" si="5"/>
        <v>-8197.42</v>
      </c>
      <c r="G33" s="47">
        <f t="shared" si="6"/>
        <v>697.07425912524195</v>
      </c>
      <c r="H33" s="60">
        <f t="shared" si="7"/>
        <v>274315.05958421313</v>
      </c>
      <c r="J33" s="74">
        <f t="shared" si="0"/>
        <v>5</v>
      </c>
      <c r="K33" s="48">
        <f t="shared" si="8"/>
        <v>276980.16990356822</v>
      </c>
      <c r="L33" s="43">
        <f t="shared" si="1"/>
        <v>-8655.6303094865088</v>
      </c>
      <c r="M33" s="75">
        <f t="shared" si="2"/>
        <v>268324.5395940817</v>
      </c>
      <c r="N33" s="32"/>
      <c r="O33" s="76">
        <f t="shared" si="9"/>
        <v>-40987.1</v>
      </c>
      <c r="P33" s="39">
        <f t="shared" si="9"/>
        <v>3699.4684426987751</v>
      </c>
      <c r="Q33" s="88">
        <f t="shared" si="10"/>
        <v>43278.151547432542</v>
      </c>
      <c r="R33" s="86"/>
    </row>
    <row r="34" spans="1:18" x14ac:dyDescent="0.45">
      <c r="A34" s="3">
        <v>8197.42</v>
      </c>
      <c r="B34" s="103">
        <f>A34/((1+$F$16)^($F$12-6))</f>
        <v>7521.8784738548684</v>
      </c>
      <c r="C34" s="19">
        <f t="shared" si="11"/>
        <v>44331</v>
      </c>
      <c r="D34" s="26">
        <f t="shared" si="3"/>
        <v>6</v>
      </c>
      <c r="E34" s="34">
        <f t="shared" si="4"/>
        <v>274315.05958421313</v>
      </c>
      <c r="F34" s="107">
        <f t="shared" si="5"/>
        <v>-8197.42</v>
      </c>
      <c r="G34" s="47">
        <f t="shared" si="6"/>
        <v>675.54152614513168</v>
      </c>
      <c r="H34" s="60">
        <f t="shared" si="7"/>
        <v>266793.18111035827</v>
      </c>
      <c r="J34" s="74">
        <f t="shared" si="0"/>
        <v>6</v>
      </c>
      <c r="K34" s="48">
        <f t="shared" si="8"/>
        <v>268324.5395940817</v>
      </c>
      <c r="L34" s="43">
        <f t="shared" si="1"/>
        <v>-8655.6303094865088</v>
      </c>
      <c r="M34" s="75">
        <f t="shared" si="2"/>
        <v>259668.9092845952</v>
      </c>
      <c r="N34" s="32"/>
      <c r="O34" s="76">
        <f t="shared" si="9"/>
        <v>-49184.52</v>
      </c>
      <c r="P34" s="39">
        <f t="shared" si="9"/>
        <v>4375.0099688439068</v>
      </c>
      <c r="Q34" s="88">
        <f t="shared" si="10"/>
        <v>51933.781856919049</v>
      </c>
      <c r="R34" s="86"/>
    </row>
    <row r="35" spans="1:18" x14ac:dyDescent="0.45">
      <c r="A35" s="3">
        <v>8197.42</v>
      </c>
      <c r="B35" s="103">
        <f>A35/((1+$F$16)^($F$12-7))</f>
        <v>7543.4730251305091</v>
      </c>
      <c r="C35" s="19">
        <f t="shared" si="11"/>
        <v>44362</v>
      </c>
      <c r="D35" s="26">
        <f t="shared" si="3"/>
        <v>7</v>
      </c>
      <c r="E35" s="34">
        <f t="shared" si="4"/>
        <v>266793.18111035827</v>
      </c>
      <c r="F35" s="107">
        <f t="shared" si="5"/>
        <v>-8197.42</v>
      </c>
      <c r="G35" s="47">
        <f t="shared" si="6"/>
        <v>653.94697486949099</v>
      </c>
      <c r="H35" s="60">
        <f t="shared" si="7"/>
        <v>259249.70808522776</v>
      </c>
      <c r="J35" s="74">
        <f t="shared" si="0"/>
        <v>7</v>
      </c>
      <c r="K35" s="48">
        <f t="shared" si="8"/>
        <v>259668.9092845952</v>
      </c>
      <c r="L35" s="43">
        <f t="shared" si="1"/>
        <v>-8655.6303094865088</v>
      </c>
      <c r="M35" s="75">
        <f t="shared" si="2"/>
        <v>251013.2789751087</v>
      </c>
      <c r="N35" s="32"/>
      <c r="O35" s="76">
        <f t="shared" si="9"/>
        <v>-57381.939999999995</v>
      </c>
      <c r="P35" s="39">
        <f t="shared" si="9"/>
        <v>5028.9569437133978</v>
      </c>
      <c r="Q35" s="88">
        <f t="shared" si="10"/>
        <v>60589.412166405556</v>
      </c>
      <c r="R35" s="86"/>
    </row>
    <row r="36" spans="1:18" x14ac:dyDescent="0.45">
      <c r="A36" s="3">
        <v>8197.42</v>
      </c>
      <c r="B36" s="103">
        <f>A36/((1+$F$16)^($F$12-8))</f>
        <v>7565.1295721757433</v>
      </c>
      <c r="C36" s="19">
        <f t="shared" si="11"/>
        <v>44392</v>
      </c>
      <c r="D36" s="26">
        <f t="shared" si="3"/>
        <v>8</v>
      </c>
      <c r="E36" s="34">
        <f t="shared" si="4"/>
        <v>259249.70808522776</v>
      </c>
      <c r="F36" s="107">
        <f t="shared" si="5"/>
        <v>-8197.42</v>
      </c>
      <c r="G36" s="47">
        <f t="shared" si="6"/>
        <v>632.29042782425677</v>
      </c>
      <c r="H36" s="60">
        <f t="shared" si="7"/>
        <v>251684.57851305199</v>
      </c>
      <c r="J36" s="74">
        <f t="shared" si="0"/>
        <v>8</v>
      </c>
      <c r="K36" s="48">
        <f t="shared" si="8"/>
        <v>251013.2789751087</v>
      </c>
      <c r="L36" s="43">
        <f t="shared" si="1"/>
        <v>-8655.6303094865088</v>
      </c>
      <c r="M36" s="75">
        <f t="shared" si="2"/>
        <v>242357.6486656222</v>
      </c>
      <c r="N36" s="32"/>
      <c r="O36" s="76">
        <f t="shared" si="9"/>
        <v>-65579.360000000001</v>
      </c>
      <c r="P36" s="39">
        <f t="shared" si="9"/>
        <v>5661.2473715376545</v>
      </c>
      <c r="Q36" s="88">
        <f t="shared" si="10"/>
        <v>69245.042475892071</v>
      </c>
      <c r="R36" s="86"/>
    </row>
    <row r="37" spans="1:18" x14ac:dyDescent="0.45">
      <c r="A37" s="3">
        <v>8197.42</v>
      </c>
      <c r="B37" s="103">
        <f>A37/((1+$F$16)^($F$12-9))</f>
        <v>7586.8482929741531</v>
      </c>
      <c r="C37" s="19">
        <f t="shared" si="11"/>
        <v>44423</v>
      </c>
      <c r="D37" s="26">
        <f t="shared" si="3"/>
        <v>9</v>
      </c>
      <c r="E37" s="34">
        <f t="shared" si="4"/>
        <v>251684.57851305199</v>
      </c>
      <c r="F37" s="107">
        <f t="shared" si="5"/>
        <v>-8197.42</v>
      </c>
      <c r="G37" s="47">
        <f t="shared" si="6"/>
        <v>610.57170702584699</v>
      </c>
      <c r="H37" s="60">
        <f t="shared" si="7"/>
        <v>244097.73022007782</v>
      </c>
      <c r="J37" s="74">
        <f t="shared" si="0"/>
        <v>9</v>
      </c>
      <c r="K37" s="48">
        <f t="shared" si="8"/>
        <v>242357.6486656222</v>
      </c>
      <c r="L37" s="43">
        <f t="shared" si="1"/>
        <v>-8655.6303094865088</v>
      </c>
      <c r="M37" s="75">
        <f t="shared" si="2"/>
        <v>233702.0183561357</v>
      </c>
      <c r="N37" s="32"/>
      <c r="O37" s="76">
        <f t="shared" si="9"/>
        <v>-73776.78</v>
      </c>
      <c r="P37" s="39">
        <f t="shared" si="9"/>
        <v>6271.8190785635015</v>
      </c>
      <c r="Q37" s="88">
        <f t="shared" si="10"/>
        <v>77900.672785378585</v>
      </c>
      <c r="R37" s="86"/>
    </row>
    <row r="38" spans="1:18" x14ac:dyDescent="0.45">
      <c r="A38" s="3">
        <v>8197.42</v>
      </c>
      <c r="B38" s="103">
        <f>A38/((1+$F$16)^($F$12-10))</f>
        <v>7608.6293660202809</v>
      </c>
      <c r="C38" s="19">
        <f t="shared" si="11"/>
        <v>44454</v>
      </c>
      <c r="D38" s="26">
        <f t="shared" si="3"/>
        <v>10</v>
      </c>
      <c r="E38" s="34">
        <f t="shared" si="4"/>
        <v>244097.73022007782</v>
      </c>
      <c r="F38" s="107">
        <f t="shared" si="5"/>
        <v>-8197.42</v>
      </c>
      <c r="G38" s="47">
        <f t="shared" si="6"/>
        <v>588.79063397971913</v>
      </c>
      <c r="H38" s="60">
        <f t="shared" si="7"/>
        <v>236489.10085405753</v>
      </c>
      <c r="J38" s="74">
        <f t="shared" si="0"/>
        <v>10</v>
      </c>
      <c r="K38" s="48">
        <f t="shared" si="8"/>
        <v>233702.0183561357</v>
      </c>
      <c r="L38" s="43">
        <f t="shared" si="1"/>
        <v>-8655.6303094865088</v>
      </c>
      <c r="M38" s="75">
        <f t="shared" si="2"/>
        <v>225046.3880466492</v>
      </c>
      <c r="N38" s="32"/>
      <c r="O38" s="76">
        <f t="shared" si="9"/>
        <v>-81974.2</v>
      </c>
      <c r="P38" s="39">
        <f t="shared" si="9"/>
        <v>6860.6097125432207</v>
      </c>
      <c r="Q38" s="88">
        <f t="shared" si="10"/>
        <v>86556.303094865099</v>
      </c>
      <c r="R38" s="87"/>
    </row>
    <row r="39" spans="1:18" x14ac:dyDescent="0.45">
      <c r="A39" s="3">
        <v>8197.42</v>
      </c>
      <c r="B39" s="103">
        <f>A39/((1+$F$16)^($F$12-11))</f>
        <v>7630.4729703211169</v>
      </c>
      <c r="C39" s="19">
        <f t="shared" si="11"/>
        <v>44484</v>
      </c>
      <c r="D39" s="26">
        <f t="shared" si="3"/>
        <v>11</v>
      </c>
      <c r="E39" s="34">
        <f t="shared" si="4"/>
        <v>236489.10085405753</v>
      </c>
      <c r="F39" s="107">
        <f t="shared" si="5"/>
        <v>-8197.42</v>
      </c>
      <c r="G39" s="47">
        <f t="shared" si="6"/>
        <v>566.94702967888315</v>
      </c>
      <c r="H39" s="60">
        <f t="shared" si="7"/>
        <v>228858.62788373639</v>
      </c>
      <c r="J39" s="74">
        <f t="shared" si="0"/>
        <v>11</v>
      </c>
      <c r="K39" s="48">
        <f t="shared" si="8"/>
        <v>225046.3880466492</v>
      </c>
      <c r="L39" s="43">
        <f t="shared" si="1"/>
        <v>-8655.6303094865088</v>
      </c>
      <c r="M39" s="75">
        <f t="shared" si="2"/>
        <v>216390.7577371627</v>
      </c>
      <c r="N39" s="32"/>
      <c r="O39" s="76">
        <f t="shared" si="9"/>
        <v>-90171.62</v>
      </c>
      <c r="P39" s="39">
        <f t="shared" si="9"/>
        <v>7427.5567422221038</v>
      </c>
      <c r="Q39" s="88">
        <f t="shared" si="10"/>
        <v>95211.933404351614</v>
      </c>
      <c r="R39" s="87"/>
    </row>
    <row r="40" spans="1:18" x14ac:dyDescent="0.45">
      <c r="A40" s="3">
        <v>8197.42</v>
      </c>
      <c r="B40" s="103">
        <f>A40/((1+$F$16)^($F$12-12))</f>
        <v>7652.379285397561</v>
      </c>
      <c r="C40" s="19">
        <f t="shared" si="11"/>
        <v>44515</v>
      </c>
      <c r="D40" s="26">
        <f t="shared" si="3"/>
        <v>12</v>
      </c>
      <c r="E40" s="34">
        <f t="shared" si="4"/>
        <v>228858.62788373639</v>
      </c>
      <c r="F40" s="107">
        <f t="shared" si="5"/>
        <v>-8197.42</v>
      </c>
      <c r="G40" s="47">
        <f t="shared" si="6"/>
        <v>545.04071460243904</v>
      </c>
      <c r="H40" s="60">
        <f t="shared" si="7"/>
        <v>221206.24859833883</v>
      </c>
      <c r="J40" s="74">
        <f t="shared" si="0"/>
        <v>12</v>
      </c>
      <c r="K40" s="48">
        <f t="shared" si="8"/>
        <v>216390.7577371627</v>
      </c>
      <c r="L40" s="43">
        <f t="shared" si="1"/>
        <v>-8655.6303094865088</v>
      </c>
      <c r="M40" s="75">
        <f t="shared" si="2"/>
        <v>207735.1274276762</v>
      </c>
      <c r="N40" s="32"/>
      <c r="O40" s="76">
        <f t="shared" si="9"/>
        <v>-98369.04</v>
      </c>
      <c r="P40" s="39">
        <f t="shared" si="9"/>
        <v>7972.5974568245429</v>
      </c>
      <c r="Q40" s="88">
        <f t="shared" si="10"/>
        <v>103867.56371383813</v>
      </c>
      <c r="R40" s="87"/>
    </row>
    <row r="41" spans="1:18" x14ac:dyDescent="0.45">
      <c r="A41" s="3">
        <v>9523.98</v>
      </c>
      <c r="B41" s="103">
        <f>A41/((1+$F$16)^($F$12-13))</f>
        <v>8916.2616462297938</v>
      </c>
      <c r="C41" s="19">
        <f t="shared" si="11"/>
        <v>44545</v>
      </c>
      <c r="D41" s="26">
        <f t="shared" si="3"/>
        <v>13</v>
      </c>
      <c r="E41" s="34">
        <f t="shared" si="4"/>
        <v>221206.24859833883</v>
      </c>
      <c r="F41" s="107">
        <f t="shared" si="5"/>
        <v>-9523.98</v>
      </c>
      <c r="G41" s="47">
        <f t="shared" si="6"/>
        <v>607.71835377020579</v>
      </c>
      <c r="H41" s="60">
        <f t="shared" si="7"/>
        <v>212289.98695210903</v>
      </c>
      <c r="J41" s="74">
        <f t="shared" si="0"/>
        <v>13</v>
      </c>
      <c r="K41" s="48">
        <f t="shared" si="8"/>
        <v>207735.1274276762</v>
      </c>
      <c r="L41" s="43">
        <f t="shared" ref="L41:L64" si="12">-$M$22/$F$12</f>
        <v>-8655.6303094865088</v>
      </c>
      <c r="M41" s="75">
        <f t="shared" si="2"/>
        <v>199079.4971181897</v>
      </c>
      <c r="N41" s="32"/>
      <c r="O41" s="76">
        <f t="shared" si="9"/>
        <v>-107893.01999999999</v>
      </c>
      <c r="P41" s="39">
        <f t="shared" si="9"/>
        <v>8580.3158105947477</v>
      </c>
      <c r="Q41" s="88">
        <f t="shared" si="10"/>
        <v>112523.19402332464</v>
      </c>
      <c r="R41" s="87"/>
    </row>
    <row r="42" spans="1:18" x14ac:dyDescent="0.45">
      <c r="A42" s="3">
        <v>9523.98</v>
      </c>
      <c r="B42" s="103">
        <f>A42/((1+$F$16)^($F$12-14))</f>
        <v>8941.8593303689086</v>
      </c>
      <c r="C42" s="19">
        <f t="shared" si="11"/>
        <v>44576</v>
      </c>
      <c r="D42" s="26">
        <f t="shared" si="3"/>
        <v>14</v>
      </c>
      <c r="E42" s="34">
        <f t="shared" si="4"/>
        <v>212289.98695210903</v>
      </c>
      <c r="F42" s="107">
        <f t="shared" si="5"/>
        <v>-9523.98</v>
      </c>
      <c r="G42" s="47">
        <f t="shared" si="6"/>
        <v>582.120669631091</v>
      </c>
      <c r="H42" s="60">
        <f t="shared" si="7"/>
        <v>203348.1276217401</v>
      </c>
      <c r="J42" s="74">
        <f t="shared" si="0"/>
        <v>14</v>
      </c>
      <c r="K42" s="48">
        <f t="shared" si="8"/>
        <v>199079.4971181897</v>
      </c>
      <c r="L42" s="43">
        <f t="shared" si="12"/>
        <v>-8655.6303094865088</v>
      </c>
      <c r="M42" s="75">
        <f t="shared" si="2"/>
        <v>190423.8668087032</v>
      </c>
      <c r="N42" s="32"/>
      <c r="O42" s="76">
        <f t="shared" si="9"/>
        <v>-117416.99999999999</v>
      </c>
      <c r="P42" s="39">
        <f t="shared" si="9"/>
        <v>9162.4364802258387</v>
      </c>
      <c r="Q42" s="88">
        <f t="shared" si="10"/>
        <v>121178.82433281116</v>
      </c>
      <c r="R42" s="87"/>
    </row>
    <row r="43" spans="1:18" x14ac:dyDescent="0.45">
      <c r="A43" s="3">
        <v>9523.98</v>
      </c>
      <c r="B43" s="103">
        <f>A43/((1+$F$16)^($F$12-15))</f>
        <v>8967.5305028666298</v>
      </c>
      <c r="C43" s="19">
        <f t="shared" si="11"/>
        <v>44607</v>
      </c>
      <c r="D43" s="26">
        <f t="shared" si="3"/>
        <v>15</v>
      </c>
      <c r="E43" s="34">
        <f t="shared" si="4"/>
        <v>203348.1276217401</v>
      </c>
      <c r="F43" s="107">
        <f t="shared" si="5"/>
        <v>-9523.98</v>
      </c>
      <c r="G43" s="47">
        <f t="shared" si="6"/>
        <v>556.44949713336973</v>
      </c>
      <c r="H43" s="60">
        <f t="shared" si="7"/>
        <v>194380.59711887347</v>
      </c>
      <c r="J43" s="74">
        <f t="shared" si="0"/>
        <v>15</v>
      </c>
      <c r="K43" s="48">
        <f t="shared" si="8"/>
        <v>190423.8668087032</v>
      </c>
      <c r="L43" s="43">
        <f t="shared" si="12"/>
        <v>-8655.6303094865088</v>
      </c>
      <c r="M43" s="75">
        <f t="shared" si="2"/>
        <v>181768.2364992167</v>
      </c>
      <c r="N43" s="32"/>
      <c r="O43" s="76">
        <f t="shared" si="9"/>
        <v>-126940.97999999998</v>
      </c>
      <c r="P43" s="39">
        <f t="shared" si="9"/>
        <v>9718.8859773592085</v>
      </c>
      <c r="Q43" s="88">
        <f t="shared" si="10"/>
        <v>129834.45464229767</v>
      </c>
      <c r="R43" s="87"/>
    </row>
    <row r="44" spans="1:18" x14ac:dyDescent="0.45">
      <c r="A44" s="3">
        <v>9523.98</v>
      </c>
      <c r="B44" s="103">
        <f>A44/((1+$F$16)^($F$12-16))</f>
        <v>8993.2753747005881</v>
      </c>
      <c r="C44" s="19">
        <f t="shared" si="11"/>
        <v>44635</v>
      </c>
      <c r="D44" s="26">
        <f t="shared" si="3"/>
        <v>16</v>
      </c>
      <c r="E44" s="34">
        <f t="shared" si="4"/>
        <v>194380.59711887347</v>
      </c>
      <c r="F44" s="107">
        <f t="shared" si="5"/>
        <v>-9523.98</v>
      </c>
      <c r="G44" s="47">
        <f t="shared" si="6"/>
        <v>530.70462529941142</v>
      </c>
      <c r="H44" s="60">
        <f t="shared" si="7"/>
        <v>185387.32174417286</v>
      </c>
      <c r="J44" s="74">
        <f t="shared" si="0"/>
        <v>16</v>
      </c>
      <c r="K44" s="48">
        <f t="shared" si="8"/>
        <v>181768.2364992167</v>
      </c>
      <c r="L44" s="43">
        <f t="shared" si="12"/>
        <v>-8655.6303094865088</v>
      </c>
      <c r="M44" s="75">
        <f t="shared" si="2"/>
        <v>173112.6061897302</v>
      </c>
      <c r="N44" s="32"/>
      <c r="O44" s="76">
        <f t="shared" si="9"/>
        <v>-136464.95999999999</v>
      </c>
      <c r="P44" s="39">
        <f t="shared" si="9"/>
        <v>10249.59060265862</v>
      </c>
      <c r="Q44" s="88">
        <f t="shared" si="10"/>
        <v>138490.08495178417</v>
      </c>
      <c r="R44" s="87"/>
    </row>
    <row r="45" spans="1:18" x14ac:dyDescent="0.45">
      <c r="A45" s="3">
        <v>9523.98</v>
      </c>
      <c r="B45" s="103">
        <f>A45/((1+$F$16)^($F$12-17))</f>
        <v>9019.0941574541193</v>
      </c>
      <c r="C45" s="19">
        <f t="shared" si="11"/>
        <v>44666</v>
      </c>
      <c r="D45" s="26">
        <f t="shared" si="3"/>
        <v>17</v>
      </c>
      <c r="E45" s="34">
        <f t="shared" si="4"/>
        <v>185387.32174417286</v>
      </c>
      <c r="F45" s="107">
        <f t="shared" si="5"/>
        <v>-9523.98</v>
      </c>
      <c r="G45" s="47">
        <f t="shared" si="6"/>
        <v>504.88584254588022</v>
      </c>
      <c r="H45" s="60">
        <f t="shared" si="7"/>
        <v>176368.22758671874</v>
      </c>
      <c r="J45" s="74">
        <f t="shared" si="0"/>
        <v>17</v>
      </c>
      <c r="K45" s="48">
        <f t="shared" si="8"/>
        <v>173112.6061897302</v>
      </c>
      <c r="L45" s="43">
        <f t="shared" si="12"/>
        <v>-8655.6303094865088</v>
      </c>
      <c r="M45" s="75">
        <f t="shared" si="2"/>
        <v>164456.9758802437</v>
      </c>
      <c r="N45" s="32"/>
      <c r="O45" s="76">
        <f t="shared" si="9"/>
        <v>-145988.94</v>
      </c>
      <c r="P45" s="39">
        <f t="shared" si="9"/>
        <v>10754.4764452045</v>
      </c>
      <c r="Q45" s="88">
        <f t="shared" si="10"/>
        <v>147145.71526127067</v>
      </c>
      <c r="R45" s="87"/>
    </row>
    <row r="46" spans="1:18" x14ac:dyDescent="0.45">
      <c r="A46" s="3">
        <v>9523.98</v>
      </c>
      <c r="B46" s="103">
        <f>A46/((1+$F$16)^($F$12-18))</f>
        <v>9044.9870633179871</v>
      </c>
      <c r="C46" s="19">
        <f t="shared" si="11"/>
        <v>44696</v>
      </c>
      <c r="D46" s="26">
        <f t="shared" si="3"/>
        <v>18</v>
      </c>
      <c r="E46" s="34">
        <f t="shared" si="4"/>
        <v>176368.22758671874</v>
      </c>
      <c r="F46" s="107">
        <f t="shared" si="5"/>
        <v>-9523.98</v>
      </c>
      <c r="G46" s="47">
        <f t="shared" si="6"/>
        <v>478.99293668201244</v>
      </c>
      <c r="H46" s="60">
        <f t="shared" si="7"/>
        <v>167323.24052340075</v>
      </c>
      <c r="J46" s="74">
        <f t="shared" si="0"/>
        <v>18</v>
      </c>
      <c r="K46" s="48">
        <f t="shared" si="8"/>
        <v>164456.9758802437</v>
      </c>
      <c r="L46" s="43">
        <f t="shared" si="12"/>
        <v>-8655.6303094865088</v>
      </c>
      <c r="M46" s="75">
        <f t="shared" si="2"/>
        <v>155801.3455707572</v>
      </c>
      <c r="N46" s="32"/>
      <c r="O46" s="76">
        <f t="shared" ref="O46:P61" si="13">+O45+F46</f>
        <v>-155512.92000000001</v>
      </c>
      <c r="P46" s="39">
        <f t="shared" si="13"/>
        <v>11233.469381886513</v>
      </c>
      <c r="Q46" s="88">
        <f t="shared" si="10"/>
        <v>155801.34557075717</v>
      </c>
      <c r="R46" s="87"/>
    </row>
    <row r="47" spans="1:18" x14ac:dyDescent="0.45">
      <c r="A47" s="3">
        <v>9523.98</v>
      </c>
      <c r="B47" s="103">
        <f>A47/((1+$F$16)^($F$12-19))</f>
        <v>9070.9543050921293</v>
      </c>
      <c r="C47" s="19">
        <f t="shared" si="11"/>
        <v>44727</v>
      </c>
      <c r="D47" s="26">
        <f t="shared" si="3"/>
        <v>19</v>
      </c>
      <c r="E47" s="34">
        <f t="shared" si="4"/>
        <v>167323.24052340075</v>
      </c>
      <c r="F47" s="107">
        <f t="shared" si="5"/>
        <v>-9523.98</v>
      </c>
      <c r="G47" s="47">
        <f t="shared" si="6"/>
        <v>453.02569490787027</v>
      </c>
      <c r="H47" s="60">
        <f t="shared" si="7"/>
        <v>158252.28621830861</v>
      </c>
      <c r="J47" s="74">
        <f t="shared" si="0"/>
        <v>19</v>
      </c>
      <c r="K47" s="48">
        <f t="shared" si="8"/>
        <v>155801.3455707572</v>
      </c>
      <c r="L47" s="43">
        <f t="shared" si="12"/>
        <v>-8655.6303094865088</v>
      </c>
      <c r="M47" s="75">
        <f t="shared" si="2"/>
        <v>147145.7152612707</v>
      </c>
      <c r="N47" s="32"/>
      <c r="O47" s="76">
        <f t="shared" si="13"/>
        <v>-165036.90000000002</v>
      </c>
      <c r="P47" s="39">
        <f t="shared" si="13"/>
        <v>11686.495076794383</v>
      </c>
      <c r="Q47" s="88">
        <f t="shared" si="10"/>
        <v>164456.97588024367</v>
      </c>
      <c r="R47" s="87"/>
    </row>
    <row r="48" spans="1:18" x14ac:dyDescent="0.45">
      <c r="A48" s="3">
        <v>9523.98</v>
      </c>
      <c r="B48" s="103">
        <f>A48/((1+$F$16)^($F$12-20))</f>
        <v>9096.9960961874222</v>
      </c>
      <c r="C48" s="19">
        <f t="shared" si="11"/>
        <v>44757</v>
      </c>
      <c r="D48" s="26">
        <f t="shared" si="3"/>
        <v>20</v>
      </c>
      <c r="E48" s="34">
        <f t="shared" si="4"/>
        <v>158252.28621830861</v>
      </c>
      <c r="F48" s="107">
        <f t="shared" si="5"/>
        <v>-9523.98</v>
      </c>
      <c r="G48" s="47">
        <f t="shared" si="6"/>
        <v>426.98390381257741</v>
      </c>
      <c r="H48" s="60">
        <f t="shared" si="7"/>
        <v>149155.29012212117</v>
      </c>
      <c r="J48" s="74">
        <f t="shared" si="0"/>
        <v>20</v>
      </c>
      <c r="K48" s="48">
        <f t="shared" si="8"/>
        <v>147145.7152612707</v>
      </c>
      <c r="L48" s="43">
        <f t="shared" si="12"/>
        <v>-8655.6303094865088</v>
      </c>
      <c r="M48" s="75">
        <f t="shared" si="2"/>
        <v>138490.0849517842</v>
      </c>
      <c r="N48" s="32"/>
      <c r="O48" s="76">
        <f t="shared" si="13"/>
        <v>-174560.88000000003</v>
      </c>
      <c r="P48" s="39">
        <f t="shared" si="13"/>
        <v>12113.47898060696</v>
      </c>
      <c r="Q48" s="88">
        <f t="shared" si="10"/>
        <v>173112.60618973017</v>
      </c>
      <c r="R48" s="87"/>
    </row>
    <row r="49" spans="1:18" x14ac:dyDescent="0.45">
      <c r="A49" s="3">
        <v>9523.98</v>
      </c>
      <c r="B49" s="103">
        <f>A49/((1+$F$16)^($F$12-21))</f>
        <v>9123.1126506274104</v>
      </c>
      <c r="C49" s="19">
        <f t="shared" si="11"/>
        <v>44788</v>
      </c>
      <c r="D49" s="26">
        <f t="shared" si="3"/>
        <v>21</v>
      </c>
      <c r="E49" s="34">
        <f t="shared" si="4"/>
        <v>149155.29012212117</v>
      </c>
      <c r="F49" s="107">
        <f t="shared" si="5"/>
        <v>-9523.98</v>
      </c>
      <c r="G49" s="47">
        <f t="shared" si="6"/>
        <v>400.86734937258916</v>
      </c>
      <c r="H49" s="60">
        <f t="shared" si="7"/>
        <v>140032.17747149375</v>
      </c>
      <c r="J49" s="74">
        <f t="shared" si="0"/>
        <v>21</v>
      </c>
      <c r="K49" s="48">
        <f t="shared" si="8"/>
        <v>138490.0849517842</v>
      </c>
      <c r="L49" s="43">
        <f t="shared" si="12"/>
        <v>-8655.6303094865088</v>
      </c>
      <c r="M49" s="75">
        <f t="shared" si="2"/>
        <v>129834.45464229769</v>
      </c>
      <c r="N49" s="80"/>
      <c r="O49" s="76">
        <f t="shared" si="13"/>
        <v>-184084.86000000004</v>
      </c>
      <c r="P49" s="39">
        <f t="shared" si="13"/>
        <v>12514.346329979549</v>
      </c>
      <c r="Q49" s="88">
        <f t="shared" si="10"/>
        <v>181768.23649921667</v>
      </c>
      <c r="R49" s="87"/>
    </row>
    <row r="50" spans="1:18" x14ac:dyDescent="0.45">
      <c r="A50" s="3">
        <v>9523.98</v>
      </c>
      <c r="B50" s="103">
        <f>A50/((1+$F$16)^($F$12-22))</f>
        <v>9149.3041830500879</v>
      </c>
      <c r="C50" s="19">
        <f t="shared" si="11"/>
        <v>44819</v>
      </c>
      <c r="D50" s="26">
        <f t="shared" si="3"/>
        <v>22</v>
      </c>
      <c r="E50" s="34">
        <f t="shared" si="4"/>
        <v>140032.17747149375</v>
      </c>
      <c r="F50" s="107">
        <f t="shared" si="5"/>
        <v>-9523.98</v>
      </c>
      <c r="G50" s="47">
        <f t="shared" si="6"/>
        <v>374.67581694991168</v>
      </c>
      <c r="H50" s="60">
        <f t="shared" si="7"/>
        <v>130882.87328844366</v>
      </c>
      <c r="J50" s="74">
        <f t="shared" si="0"/>
        <v>22</v>
      </c>
      <c r="K50" s="48">
        <f t="shared" si="8"/>
        <v>129834.45464229769</v>
      </c>
      <c r="L50" s="43">
        <f t="shared" si="12"/>
        <v>-8655.6303094865088</v>
      </c>
      <c r="M50" s="75">
        <f t="shared" si="2"/>
        <v>121178.82433281117</v>
      </c>
      <c r="N50" s="32"/>
      <c r="O50" s="76">
        <f t="shared" si="13"/>
        <v>-193608.84000000005</v>
      </c>
      <c r="P50" s="39">
        <f t="shared" si="13"/>
        <v>12889.022146929461</v>
      </c>
      <c r="Q50" s="88">
        <f t="shared" si="10"/>
        <v>190423.86680870317</v>
      </c>
      <c r="R50" s="32"/>
    </row>
    <row r="51" spans="1:18" x14ac:dyDescent="0.45">
      <c r="A51" s="3">
        <v>9523.98</v>
      </c>
      <c r="B51" s="103">
        <f>A51/((1+$F$16)^($F$12-23))</f>
        <v>9175.5709087096511</v>
      </c>
      <c r="C51" s="19">
        <f t="shared" si="11"/>
        <v>44849</v>
      </c>
      <c r="D51" s="26">
        <f t="shared" si="3"/>
        <v>23</v>
      </c>
      <c r="E51" s="34">
        <f t="shared" si="4"/>
        <v>130882.87328844366</v>
      </c>
      <c r="F51" s="107">
        <f t="shared" si="5"/>
        <v>-9523.98</v>
      </c>
      <c r="G51" s="47">
        <f t="shared" si="6"/>
        <v>348.40909129034844</v>
      </c>
      <c r="H51" s="60">
        <f t="shared" si="7"/>
        <v>121707.30237973401</v>
      </c>
      <c r="J51" s="74">
        <f t="shared" si="0"/>
        <v>23</v>
      </c>
      <c r="K51" s="48">
        <f t="shared" si="8"/>
        <v>121178.82433281117</v>
      </c>
      <c r="L51" s="43">
        <f t="shared" si="12"/>
        <v>-8655.6303094865088</v>
      </c>
      <c r="M51" s="75">
        <f t="shared" si="2"/>
        <v>112523.19402332466</v>
      </c>
      <c r="N51" s="32"/>
      <c r="O51" s="76">
        <f t="shared" si="13"/>
        <v>-203132.82000000007</v>
      </c>
      <c r="P51" s="39">
        <f t="shared" si="13"/>
        <v>13237.43123821981</v>
      </c>
      <c r="Q51" s="88">
        <f t="shared" si="10"/>
        <v>199079.49711818967</v>
      </c>
      <c r="R51" s="32"/>
    </row>
    <row r="52" spans="1:18" x14ac:dyDescent="0.45">
      <c r="A52" s="3">
        <v>9523.98</v>
      </c>
      <c r="B52" s="103">
        <f>A52/((1+$F$16)^($F$12-24))</f>
        <v>9201.9130434782619</v>
      </c>
      <c r="C52" s="19">
        <f t="shared" si="11"/>
        <v>44880</v>
      </c>
      <c r="D52" s="26">
        <f t="shared" si="3"/>
        <v>24</v>
      </c>
      <c r="E52" s="34">
        <f t="shared" si="4"/>
        <v>121707.30237973401</v>
      </c>
      <c r="F52" s="107">
        <f t="shared" si="5"/>
        <v>-9523.98</v>
      </c>
      <c r="G52" s="47">
        <f t="shared" si="6"/>
        <v>322.06695652173767</v>
      </c>
      <c r="H52" s="60">
        <f t="shared" si="7"/>
        <v>112505.38933625576</v>
      </c>
      <c r="J52" s="74">
        <f t="shared" si="0"/>
        <v>24</v>
      </c>
      <c r="K52" s="48">
        <f t="shared" si="8"/>
        <v>112523.19402332466</v>
      </c>
      <c r="L52" s="43">
        <f t="shared" si="12"/>
        <v>-8655.6303094865088</v>
      </c>
      <c r="M52" s="75">
        <f t="shared" si="2"/>
        <v>103867.56371383814</v>
      </c>
      <c r="N52" s="32"/>
      <c r="O52" s="76">
        <f t="shared" si="13"/>
        <v>-212656.80000000008</v>
      </c>
      <c r="P52" s="39">
        <f t="shared" si="13"/>
        <v>13559.498194741547</v>
      </c>
      <c r="Q52" s="88">
        <f t="shared" si="10"/>
        <v>207735.12742767617</v>
      </c>
      <c r="R52" s="32"/>
    </row>
    <row r="53" spans="1:18" x14ac:dyDescent="0.45">
      <c r="A53" s="3">
        <v>9523.98</v>
      </c>
      <c r="B53" s="103">
        <f>A53/((1+$F$16)^($F$12-25))</f>
        <v>9228.3308038478372</v>
      </c>
      <c r="C53" s="19">
        <f t="shared" si="11"/>
        <v>44910</v>
      </c>
      <c r="D53" s="26">
        <f t="shared" si="3"/>
        <v>25</v>
      </c>
      <c r="E53" s="34">
        <f t="shared" si="4"/>
        <v>112505.38933625576</v>
      </c>
      <c r="F53" s="107">
        <f t="shared" si="5"/>
        <v>-9523.98</v>
      </c>
      <c r="G53" s="47">
        <f t="shared" si="6"/>
        <v>295.6491961521624</v>
      </c>
      <c r="H53" s="60">
        <f t="shared" si="7"/>
        <v>103277.05853240793</v>
      </c>
      <c r="J53" s="74">
        <f t="shared" si="0"/>
        <v>25</v>
      </c>
      <c r="K53" s="48">
        <f t="shared" si="8"/>
        <v>103867.56371383814</v>
      </c>
      <c r="L53" s="43">
        <f t="shared" si="12"/>
        <v>-8655.6303094865088</v>
      </c>
      <c r="M53" s="75">
        <f t="shared" si="2"/>
        <v>95211.933404351628</v>
      </c>
      <c r="N53" s="32"/>
      <c r="O53" s="76">
        <f t="shared" si="13"/>
        <v>-222180.78000000009</v>
      </c>
      <c r="P53" s="39">
        <f t="shared" si="13"/>
        <v>13855.14739089371</v>
      </c>
      <c r="Q53" s="88">
        <f t="shared" si="10"/>
        <v>216390.75773716267</v>
      </c>
      <c r="R53" s="32"/>
    </row>
    <row r="54" spans="1:18" x14ac:dyDescent="0.45">
      <c r="A54" s="3">
        <v>9523.98</v>
      </c>
      <c r="B54" s="103">
        <f>A54/((1+$F$16)^($F$12-26))</f>
        <v>9254.8244069318189</v>
      </c>
      <c r="C54" s="19">
        <f t="shared" si="11"/>
        <v>44941</v>
      </c>
      <c r="D54" s="26">
        <f t="shared" si="3"/>
        <v>26</v>
      </c>
      <c r="E54" s="34">
        <f t="shared" si="4"/>
        <v>103277.05853240793</v>
      </c>
      <c r="F54" s="107">
        <f t="shared" si="5"/>
        <v>-9523.98</v>
      </c>
      <c r="G54" s="47">
        <f t="shared" si="6"/>
        <v>269.15559306818068</v>
      </c>
      <c r="H54" s="60">
        <f t="shared" si="7"/>
        <v>94022.234125476112</v>
      </c>
      <c r="J54" s="74">
        <f t="shared" si="0"/>
        <v>26</v>
      </c>
      <c r="K54" s="48">
        <f t="shared" si="8"/>
        <v>95211.933404351628</v>
      </c>
      <c r="L54" s="43">
        <f t="shared" si="12"/>
        <v>-8655.6303094865088</v>
      </c>
      <c r="M54" s="75">
        <f t="shared" si="2"/>
        <v>86556.303094865114</v>
      </c>
      <c r="N54" s="32"/>
      <c r="O54" s="76">
        <f t="shared" si="13"/>
        <v>-231704.7600000001</v>
      </c>
      <c r="P54" s="39">
        <f t="shared" si="13"/>
        <v>14124.30298396189</v>
      </c>
      <c r="Q54" s="88">
        <f t="shared" si="10"/>
        <v>225046.38804664917</v>
      </c>
      <c r="R54" s="32"/>
    </row>
    <row r="55" spans="1:18" x14ac:dyDescent="0.45">
      <c r="A55" s="3">
        <v>9523.98</v>
      </c>
      <c r="B55" s="103">
        <f>A55/((1+$F$16)^($F$12-27))</f>
        <v>9281.3940704669585</v>
      </c>
      <c r="C55" s="19">
        <f t="shared" si="11"/>
        <v>44972</v>
      </c>
      <c r="D55" s="26">
        <f t="shared" si="3"/>
        <v>27</v>
      </c>
      <c r="E55" s="34">
        <f t="shared" si="4"/>
        <v>94022.234125476112</v>
      </c>
      <c r="F55" s="107">
        <f t="shared" si="5"/>
        <v>-9523.98</v>
      </c>
      <c r="G55" s="47">
        <f t="shared" si="6"/>
        <v>242.58592953304105</v>
      </c>
      <c r="H55" s="60">
        <f t="shared" si="7"/>
        <v>84740.840055009161</v>
      </c>
      <c r="J55" s="74">
        <f t="shared" si="0"/>
        <v>27</v>
      </c>
      <c r="K55" s="48">
        <f t="shared" si="8"/>
        <v>86556.303094865114</v>
      </c>
      <c r="L55" s="43">
        <f t="shared" si="12"/>
        <v>-8655.6303094865088</v>
      </c>
      <c r="M55" s="75">
        <f t="shared" si="2"/>
        <v>77900.6727853786</v>
      </c>
      <c r="N55" s="32"/>
      <c r="O55" s="76">
        <f t="shared" si="13"/>
        <v>-241228.74000000011</v>
      </c>
      <c r="P55" s="39">
        <f t="shared" si="13"/>
        <v>14366.888913494931</v>
      </c>
      <c r="Q55" s="88">
        <f t="shared" si="10"/>
        <v>233702.01835613567</v>
      </c>
      <c r="R55" s="32"/>
    </row>
    <row r="56" spans="1:18" x14ac:dyDescent="0.45">
      <c r="A56" s="3">
        <v>9523.98</v>
      </c>
      <c r="B56" s="103">
        <f>A56/((1+$F$16)^($F$12-28))</f>
        <v>9308.0400128151086</v>
      </c>
      <c r="C56" s="19">
        <f t="shared" si="11"/>
        <v>45000</v>
      </c>
      <c r="D56" s="26">
        <f t="shared" si="3"/>
        <v>28</v>
      </c>
      <c r="E56" s="34">
        <f t="shared" si="4"/>
        <v>84740.840055009161</v>
      </c>
      <c r="F56" s="107">
        <f t="shared" si="5"/>
        <v>-9523.98</v>
      </c>
      <c r="G56" s="47">
        <f t="shared" si="6"/>
        <v>215.93998718489092</v>
      </c>
      <c r="H56" s="60">
        <f t="shared" si="7"/>
        <v>75432.800042194052</v>
      </c>
      <c r="J56" s="74">
        <f t="shared" si="0"/>
        <v>28</v>
      </c>
      <c r="K56" s="48">
        <f t="shared" si="8"/>
        <v>77900.6727853786</v>
      </c>
      <c r="L56" s="43">
        <f t="shared" si="12"/>
        <v>-8655.6303094865088</v>
      </c>
      <c r="M56" s="75">
        <f t="shared" si="2"/>
        <v>69245.042475892085</v>
      </c>
      <c r="N56" s="32"/>
      <c r="O56" s="76">
        <f t="shared" si="13"/>
        <v>-250752.72000000012</v>
      </c>
      <c r="P56" s="39">
        <f t="shared" si="13"/>
        <v>14582.828900679822</v>
      </c>
      <c r="Q56" s="88">
        <f t="shared" si="10"/>
        <v>242357.64866562217</v>
      </c>
      <c r="R56" s="32"/>
    </row>
    <row r="57" spans="1:18" x14ac:dyDescent="0.45">
      <c r="A57" s="3">
        <v>9523.98</v>
      </c>
      <c r="B57" s="103">
        <f>A57/((1+$F$16)^($F$12-29))</f>
        <v>9334.7624529650129</v>
      </c>
      <c r="C57" s="19">
        <f t="shared" si="11"/>
        <v>45031</v>
      </c>
      <c r="D57" s="26">
        <f t="shared" si="3"/>
        <v>29</v>
      </c>
      <c r="E57" s="34">
        <f t="shared" si="4"/>
        <v>75432.800042194052</v>
      </c>
      <c r="F57" s="107">
        <f t="shared" si="5"/>
        <v>-9523.98</v>
      </c>
      <c r="G57" s="47">
        <f t="shared" si="6"/>
        <v>189.21754703498664</v>
      </c>
      <c r="H57" s="60">
        <f t="shared" si="7"/>
        <v>66098.037589229047</v>
      </c>
      <c r="J57" s="74">
        <f t="shared" si="0"/>
        <v>29</v>
      </c>
      <c r="K57" s="48">
        <f t="shared" si="8"/>
        <v>69245.042475892085</v>
      </c>
      <c r="L57" s="43">
        <f t="shared" si="12"/>
        <v>-8655.6303094865088</v>
      </c>
      <c r="M57" s="75">
        <f t="shared" si="2"/>
        <v>60589.412166405578</v>
      </c>
      <c r="N57" s="32"/>
      <c r="O57" s="76">
        <f t="shared" si="13"/>
        <v>-260276.70000000013</v>
      </c>
      <c r="P57" s="39">
        <f t="shared" si="13"/>
        <v>14772.046447714809</v>
      </c>
      <c r="Q57" s="88">
        <f t="shared" si="10"/>
        <v>251013.27897510867</v>
      </c>
      <c r="R57" s="32"/>
    </row>
    <row r="58" spans="1:18" x14ac:dyDescent="0.45">
      <c r="A58" s="3">
        <v>9523.98</v>
      </c>
      <c r="B58" s="103">
        <f>A58/((1+$F$16)^($F$12-30))</f>
        <v>9361.5616105341142</v>
      </c>
      <c r="C58" s="19">
        <f t="shared" si="11"/>
        <v>45061</v>
      </c>
      <c r="D58" s="26">
        <f t="shared" si="3"/>
        <v>30</v>
      </c>
      <c r="E58" s="34">
        <f t="shared" si="4"/>
        <v>66098.037589229047</v>
      </c>
      <c r="F58" s="107">
        <f t="shared" si="5"/>
        <v>-9523.98</v>
      </c>
      <c r="G58" s="47">
        <f t="shared" si="6"/>
        <v>162.41838946588541</v>
      </c>
      <c r="H58" s="60">
        <f t="shared" si="7"/>
        <v>56736.475978694936</v>
      </c>
      <c r="J58" s="74">
        <f t="shared" si="0"/>
        <v>30</v>
      </c>
      <c r="K58" s="48">
        <f t="shared" si="8"/>
        <v>60589.412166405578</v>
      </c>
      <c r="L58" s="43">
        <f t="shared" si="12"/>
        <v>-8655.6303094865088</v>
      </c>
      <c r="M58" s="75">
        <f t="shared" si="2"/>
        <v>51933.781856919071</v>
      </c>
      <c r="N58" s="32"/>
      <c r="O58" s="76">
        <f t="shared" si="13"/>
        <v>-269800.68000000011</v>
      </c>
      <c r="P58" s="39">
        <f t="shared" si="13"/>
        <v>14934.464837180694</v>
      </c>
      <c r="Q58" s="88">
        <f t="shared" si="10"/>
        <v>259668.90928459517</v>
      </c>
      <c r="R58" s="32"/>
    </row>
    <row r="59" spans="1:18" x14ac:dyDescent="0.45">
      <c r="A59" s="3">
        <v>9523.98</v>
      </c>
      <c r="B59" s="103">
        <f>A59/((1+$F$16)^($F$12-31))</f>
        <v>9388.4377057703532</v>
      </c>
      <c r="C59" s="19">
        <f t="shared" si="11"/>
        <v>45092</v>
      </c>
      <c r="D59" s="26">
        <f t="shared" si="3"/>
        <v>31</v>
      </c>
      <c r="E59" s="34">
        <f t="shared" si="4"/>
        <v>56736.475978694936</v>
      </c>
      <c r="F59" s="107">
        <f t="shared" si="5"/>
        <v>-9523.98</v>
      </c>
      <c r="G59" s="47">
        <f t="shared" si="6"/>
        <v>135.54229422964636</v>
      </c>
      <c r="H59" s="60">
        <f t="shared" si="7"/>
        <v>47348.038272924576</v>
      </c>
      <c r="J59" s="74">
        <f t="shared" si="0"/>
        <v>31</v>
      </c>
      <c r="K59" s="48">
        <f t="shared" si="8"/>
        <v>51933.781856919071</v>
      </c>
      <c r="L59" s="43">
        <f t="shared" si="12"/>
        <v>-8655.6303094865088</v>
      </c>
      <c r="M59" s="75">
        <f t="shared" si="2"/>
        <v>43278.151547432564</v>
      </c>
      <c r="N59" s="32"/>
      <c r="O59" s="76">
        <f t="shared" si="13"/>
        <v>-279324.66000000009</v>
      </c>
      <c r="P59" s="39">
        <f t="shared" si="13"/>
        <v>15070.007131410341</v>
      </c>
      <c r="Q59" s="88">
        <f t="shared" si="10"/>
        <v>268324.5395940817</v>
      </c>
      <c r="R59" s="32"/>
    </row>
    <row r="60" spans="1:18" x14ac:dyDescent="0.45">
      <c r="A60" s="3">
        <v>9523.98</v>
      </c>
      <c r="B60" s="103">
        <f>A60/((1+$F$16)^($F$12-32))</f>
        <v>9415.3909595539808</v>
      </c>
      <c r="C60" s="19">
        <f t="shared" si="11"/>
        <v>45122</v>
      </c>
      <c r="D60" s="26">
        <f t="shared" si="3"/>
        <v>32</v>
      </c>
      <c r="E60" s="34">
        <f t="shared" si="4"/>
        <v>47348.038272924576</v>
      </c>
      <c r="F60" s="107">
        <f t="shared" si="5"/>
        <v>-9523.98</v>
      </c>
      <c r="G60" s="47">
        <f t="shared" si="6"/>
        <v>108.58904044601877</v>
      </c>
      <c r="H60" s="60">
        <f t="shared" si="7"/>
        <v>37932.647313370602</v>
      </c>
      <c r="J60" s="74">
        <f t="shared" si="0"/>
        <v>32</v>
      </c>
      <c r="K60" s="48">
        <f t="shared" si="8"/>
        <v>43278.151547432564</v>
      </c>
      <c r="L60" s="43">
        <f t="shared" si="12"/>
        <v>-8655.6303094865088</v>
      </c>
      <c r="M60" s="75">
        <f t="shared" si="2"/>
        <v>34622.521237946057</v>
      </c>
      <c r="N60" s="32"/>
      <c r="O60" s="76">
        <f t="shared" si="13"/>
        <v>-288848.64000000007</v>
      </c>
      <c r="P60" s="39">
        <f t="shared" si="13"/>
        <v>15178.596171856359</v>
      </c>
      <c r="Q60" s="88">
        <f t="shared" si="10"/>
        <v>276980.16990356822</v>
      </c>
      <c r="R60" s="32"/>
    </row>
    <row r="61" spans="1:18" x14ac:dyDescent="0.45">
      <c r="A61" s="3">
        <v>9523.98</v>
      </c>
      <c r="B61" s="103">
        <f>A61/((1+$F$16)^($F$12-33))</f>
        <v>9442.4215933993692</v>
      </c>
      <c r="C61" s="19">
        <f t="shared" si="11"/>
        <v>45153</v>
      </c>
      <c r="D61" s="26">
        <f t="shared" si="3"/>
        <v>33</v>
      </c>
      <c r="E61" s="34">
        <f t="shared" si="4"/>
        <v>37932.647313370602</v>
      </c>
      <c r="F61" s="107">
        <f t="shared" si="5"/>
        <v>-9523.98</v>
      </c>
      <c r="G61" s="47">
        <f t="shared" si="6"/>
        <v>81.558406600630406</v>
      </c>
      <c r="H61" s="60">
        <f t="shared" si="7"/>
        <v>28490.225719971233</v>
      </c>
      <c r="J61" s="74">
        <f t="shared" si="0"/>
        <v>33</v>
      </c>
      <c r="K61" s="48">
        <f t="shared" si="8"/>
        <v>34622.521237946057</v>
      </c>
      <c r="L61" s="43">
        <f t="shared" si="12"/>
        <v>-8655.6303094865088</v>
      </c>
      <c r="M61" s="75">
        <f t="shared" si="2"/>
        <v>25966.89092845955</v>
      </c>
      <c r="N61" s="32"/>
      <c r="O61" s="76">
        <f t="shared" si="13"/>
        <v>-298372.62000000005</v>
      </c>
      <c r="P61" s="39">
        <f t="shared" si="13"/>
        <v>15260.15457845699</v>
      </c>
      <c r="Q61" s="88">
        <f t="shared" si="10"/>
        <v>285635.80021305475</v>
      </c>
      <c r="R61" s="32"/>
    </row>
    <row r="62" spans="1:18" x14ac:dyDescent="0.45">
      <c r="A62" s="3">
        <v>9523.98</v>
      </c>
      <c r="B62" s="103">
        <f>A62/((1+$F$16)^($F$12-34))</f>
        <v>9469.529829456842</v>
      </c>
      <c r="C62" s="19">
        <f t="shared" si="11"/>
        <v>45184</v>
      </c>
      <c r="D62" s="26">
        <f t="shared" si="3"/>
        <v>34</v>
      </c>
      <c r="E62" s="34">
        <f t="shared" si="4"/>
        <v>28490.225719971233</v>
      </c>
      <c r="F62" s="107">
        <f t="shared" si="5"/>
        <v>-9523.98</v>
      </c>
      <c r="G62" s="47">
        <f t="shared" si="6"/>
        <v>54.450170543157583</v>
      </c>
      <c r="H62" s="60">
        <f t="shared" si="7"/>
        <v>19020.695890514391</v>
      </c>
      <c r="J62" s="74">
        <f t="shared" si="0"/>
        <v>34</v>
      </c>
      <c r="K62" s="48">
        <f t="shared" si="8"/>
        <v>25966.89092845955</v>
      </c>
      <c r="L62" s="43">
        <f t="shared" si="12"/>
        <v>-8655.6303094865088</v>
      </c>
      <c r="M62" s="75">
        <f t="shared" si="2"/>
        <v>17311.260618973043</v>
      </c>
      <c r="N62" s="32"/>
      <c r="O62" s="76">
        <f t="shared" ref="O62:P64" si="14">+O61+F62</f>
        <v>-307896.60000000003</v>
      </c>
      <c r="P62" s="39">
        <f t="shared" si="14"/>
        <v>15314.604749000147</v>
      </c>
      <c r="Q62" s="88">
        <f t="shared" si="10"/>
        <v>294291.43052254128</v>
      </c>
      <c r="R62" s="32"/>
    </row>
    <row r="63" spans="1:18" x14ac:dyDescent="0.45">
      <c r="A63" s="3">
        <v>9523.98</v>
      </c>
      <c r="B63" s="103">
        <f>A63/((1+$F$16)^($F$12-35))</f>
        <v>9496.7158905144861</v>
      </c>
      <c r="C63" s="19">
        <f t="shared" si="11"/>
        <v>45214</v>
      </c>
      <c r="D63" s="26">
        <f t="shared" si="3"/>
        <v>35</v>
      </c>
      <c r="E63" s="34">
        <f t="shared" si="4"/>
        <v>19020.695890514391</v>
      </c>
      <c r="F63" s="107">
        <f t="shared" si="5"/>
        <v>-9523.98</v>
      </c>
      <c r="G63" s="47">
        <f t="shared" si="6"/>
        <v>27.264109485513472</v>
      </c>
      <c r="H63" s="60">
        <f t="shared" si="7"/>
        <v>9523.979999999905</v>
      </c>
      <c r="J63" s="74">
        <f t="shared" si="0"/>
        <v>35</v>
      </c>
      <c r="K63" s="48">
        <f t="shared" si="8"/>
        <v>17311.260618973043</v>
      </c>
      <c r="L63" s="43">
        <f t="shared" si="12"/>
        <v>-8655.6303094865088</v>
      </c>
      <c r="M63" s="75">
        <f t="shared" si="2"/>
        <v>8655.6303094865343</v>
      </c>
      <c r="N63" s="32"/>
      <c r="O63" s="76">
        <f t="shared" si="14"/>
        <v>-317420.58</v>
      </c>
      <c r="P63" s="39">
        <f t="shared" si="14"/>
        <v>15341.868858485661</v>
      </c>
      <c r="Q63" s="88">
        <f t="shared" si="10"/>
        <v>302947.06083202781</v>
      </c>
      <c r="R63" s="32"/>
    </row>
    <row r="64" spans="1:18" x14ac:dyDescent="0.45">
      <c r="A64" s="3">
        <v>9523.98</v>
      </c>
      <c r="B64" s="103">
        <f>A64/((1+$F$16)^($F$12-36))</f>
        <v>9523.98</v>
      </c>
      <c r="C64" s="19">
        <f t="shared" si="11"/>
        <v>45245</v>
      </c>
      <c r="D64" s="26">
        <f t="shared" si="3"/>
        <v>36</v>
      </c>
      <c r="E64" s="34">
        <f t="shared" si="4"/>
        <v>9523.979999999905</v>
      </c>
      <c r="F64" s="107">
        <f t="shared" si="5"/>
        <v>-9523.98</v>
      </c>
      <c r="G64" s="47">
        <f t="shared" si="6"/>
        <v>0</v>
      </c>
      <c r="H64" s="60">
        <f t="shared" si="7"/>
        <v>-9.4587448984384537E-11</v>
      </c>
      <c r="J64" s="74">
        <f t="shared" si="0"/>
        <v>36</v>
      </c>
      <c r="K64" s="48">
        <f t="shared" si="8"/>
        <v>8655.6303094865343</v>
      </c>
      <c r="L64" s="43">
        <f t="shared" si="12"/>
        <v>-8655.6303094865088</v>
      </c>
      <c r="M64" s="75">
        <f t="shared" si="2"/>
        <v>2.5465851649641991E-11</v>
      </c>
      <c r="N64" s="32"/>
      <c r="O64" s="76">
        <f t="shared" si="14"/>
        <v>-326944.56</v>
      </c>
      <c r="P64" s="39">
        <f t="shared" si="14"/>
        <v>15341.868858485661</v>
      </c>
      <c r="Q64" s="88">
        <f t="shared" si="10"/>
        <v>311602.69114151434</v>
      </c>
      <c r="R64" s="32"/>
    </row>
    <row r="65" spans="2:18" x14ac:dyDescent="0.45">
      <c r="B65" s="7"/>
      <c r="C65" s="19">
        <f t="shared" si="11"/>
        <v>45275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45306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45337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45366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45397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45427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45458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45488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45519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45550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45580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45611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45641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45672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45703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45731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45762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45792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45823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45853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45884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45915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45945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45976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46006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46037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46068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46096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46127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46157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5">DATE(YEAR(C94),MONTH(C94)+1,DAY(C94))</f>
        <v>46188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5"/>
        <v>46218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5"/>
        <v>46249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5"/>
        <v>46280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5"/>
        <v>46310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5"/>
        <v>46341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5"/>
        <v>46371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5"/>
        <v>46402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5"/>
        <v>46433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5"/>
        <v>46461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5"/>
        <v>46492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5"/>
        <v>46522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5"/>
        <v>46553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-326944.56</v>
      </c>
      <c r="G110" s="43">
        <f>SUM(G29:G107)</f>
        <v>15341.868858485661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302947.06083202781</v>
      </c>
      <c r="G116" s="119">
        <f>INDEX(M:M,MATCH(DATE(2021,12,DAY(D10)),C:C))</f>
        <v>199079.4971181897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-91897.87472922563</v>
      </c>
      <c r="G119" s="113">
        <f ca="1">IFERROR(SUM(INDIRECT("F"&amp;MATCH(DATE(2022,1,DAY(D10)),C:C)):INDIRECT("G"&amp;MATCH(DATE(2022,1,DAY(D10)),C:C)+11)),VALUE("0"))</f>
        <v>-109012.928419701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-212289.98695210903</v>
      </c>
      <c r="G123" s="113">
        <f ca="1">IFERROR(SUM(INDIRECT("F"&amp;MATCH(DATE(2023,1,DAY(D10)),C:C)):G107),VALUE("0"))</f>
        <v>-103277.05853240802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-114287.75999999997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-104763.77999999997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4DA94-A65A-4A34-A531-5FEC290A56CD}">
  <dimension ref="A1:R130"/>
  <sheetViews>
    <sheetView topLeftCell="A106" zoomScale="85" zoomScaleNormal="85" workbookViewId="0">
      <selection activeCell="F116" sqref="F116"/>
    </sheetView>
  </sheetViews>
  <sheetFormatPr defaultRowHeight="14.25" x14ac:dyDescent="0.45"/>
  <cols>
    <col min="1" max="1" width="13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121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44298</v>
      </c>
      <c r="E10" s="12">
        <f>VLOOKUP($C$2,'Lease Summary'!D:H,4,FALSE)</f>
        <v>45393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28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793901.34768297931</v>
      </c>
      <c r="J22" s="17" t="s">
        <v>234</v>
      </c>
      <c r="K22" s="22"/>
      <c r="L22" s="7"/>
      <c r="M22" s="65">
        <f>H22</f>
        <v>793901.34768297931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793901.34768297931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v>22971</v>
      </c>
      <c r="B29" s="103">
        <f>A29/((1+$F$16)^($F$12-1))</f>
        <v>20778.006681344355</v>
      </c>
      <c r="C29" s="19">
        <f>D10</f>
        <v>44298</v>
      </c>
      <c r="D29" s="27">
        <v>1</v>
      </c>
      <c r="E29" s="33">
        <f>A28</f>
        <v>793901.34768297931</v>
      </c>
      <c r="F29" s="106">
        <f>-A29</f>
        <v>-22971</v>
      </c>
      <c r="G29" s="46">
        <f>A29-B29</f>
        <v>2192.9933186556445</v>
      </c>
      <c r="H29" s="59">
        <f>SUM(E29:G29)</f>
        <v>773123.34100163495</v>
      </c>
      <c r="J29" s="69">
        <f t="shared" ref="J29:J64" si="0">D29</f>
        <v>1</v>
      </c>
      <c r="K29" s="70">
        <f>M22</f>
        <v>793901.34768297931</v>
      </c>
      <c r="L29" s="42">
        <f t="shared" ref="L29:L40" si="1">-$M$22/$F$12</f>
        <v>-22052.815213416092</v>
      </c>
      <c r="M29" s="71">
        <f t="shared" ref="M29:M64" si="2">K29+L29</f>
        <v>771848.53246956319</v>
      </c>
      <c r="N29" s="32"/>
      <c r="O29" s="72">
        <f>+F29</f>
        <v>-22971</v>
      </c>
      <c r="P29" s="73">
        <f>+G29</f>
        <v>2192.9933186556445</v>
      </c>
      <c r="Q29" s="71">
        <f>-L29</f>
        <v>22052.815213416092</v>
      </c>
      <c r="R29" s="85"/>
    </row>
    <row r="30" spans="1:18" x14ac:dyDescent="0.45">
      <c r="A30" s="3">
        <v>22971</v>
      </c>
      <c r="B30" s="103">
        <f>A30/((1+$F$16)^($F$12-2))</f>
        <v>20837.658234110793</v>
      </c>
      <c r="C30" s="19">
        <f>DATE(YEAR(C29),MONTH(C29)+1,DAY(C29))</f>
        <v>44328</v>
      </c>
      <c r="D30" s="26">
        <f t="shared" ref="D30:D64" si="3">D29+1</f>
        <v>2</v>
      </c>
      <c r="E30" s="34">
        <f t="shared" ref="E30:E64" si="4">H29</f>
        <v>773123.34100163495</v>
      </c>
      <c r="F30" s="107">
        <f t="shared" ref="F30:F64" si="5">-A30</f>
        <v>-22971</v>
      </c>
      <c r="G30" s="47">
        <f t="shared" ref="G30:G64" si="6">A30-B30</f>
        <v>2133.3417658892067</v>
      </c>
      <c r="H30" s="60">
        <f t="shared" ref="H30:H64" si="7">SUM(E30:G30)</f>
        <v>752285.68276752415</v>
      </c>
      <c r="J30" s="74">
        <f t="shared" si="0"/>
        <v>2</v>
      </c>
      <c r="K30" s="48">
        <f t="shared" ref="K30:K64" si="8">M29</f>
        <v>771848.53246956319</v>
      </c>
      <c r="L30" s="43">
        <f t="shared" si="1"/>
        <v>-22052.815213416092</v>
      </c>
      <c r="M30" s="75">
        <f t="shared" si="2"/>
        <v>749795.71725614707</v>
      </c>
      <c r="N30" s="32"/>
      <c r="O30" s="76">
        <f t="shared" ref="O30:P45" si="9">+O29+F30</f>
        <v>-45942</v>
      </c>
      <c r="P30" s="77">
        <f t="shared" si="9"/>
        <v>4326.3350845448513</v>
      </c>
      <c r="Q30" s="75">
        <f t="shared" ref="Q30:Q64" si="10">+Q29-L30</f>
        <v>44105.630426832184</v>
      </c>
      <c r="R30" s="86"/>
    </row>
    <row r="31" spans="1:18" x14ac:dyDescent="0.45">
      <c r="A31" s="3">
        <v>22971</v>
      </c>
      <c r="B31" s="103">
        <f>A31/((1+$F$16)^($F$12-3))</f>
        <v>20897.481040443658</v>
      </c>
      <c r="C31" s="19">
        <f t="shared" ref="C31:C94" si="11">DATE(YEAR(C30),MONTH(C30)+1,DAY(C30))</f>
        <v>44359</v>
      </c>
      <c r="D31" s="26">
        <f t="shared" si="3"/>
        <v>3</v>
      </c>
      <c r="E31" s="34">
        <f t="shared" si="4"/>
        <v>752285.68276752415</v>
      </c>
      <c r="F31" s="107">
        <f t="shared" si="5"/>
        <v>-22971</v>
      </c>
      <c r="G31" s="47">
        <f t="shared" si="6"/>
        <v>2073.5189595563425</v>
      </c>
      <c r="H31" s="60">
        <f t="shared" si="7"/>
        <v>731388.20172708051</v>
      </c>
      <c r="J31" s="74">
        <f t="shared" si="0"/>
        <v>3</v>
      </c>
      <c r="K31" s="48">
        <f t="shared" si="8"/>
        <v>749795.71725614707</v>
      </c>
      <c r="L31" s="43">
        <f t="shared" si="1"/>
        <v>-22052.815213416092</v>
      </c>
      <c r="M31" s="75">
        <f t="shared" si="2"/>
        <v>727742.90204273094</v>
      </c>
      <c r="N31" s="32"/>
      <c r="O31" s="76">
        <f t="shared" si="9"/>
        <v>-68913</v>
      </c>
      <c r="P31" s="39">
        <f t="shared" si="9"/>
        <v>6399.8540441011937</v>
      </c>
      <c r="Q31" s="88">
        <f t="shared" si="10"/>
        <v>66158.445640248276</v>
      </c>
      <c r="R31" s="86"/>
    </row>
    <row r="32" spans="1:18" x14ac:dyDescent="0.45">
      <c r="A32" s="3">
        <v>22971</v>
      </c>
      <c r="B32" s="103">
        <f>A32/((1+$F$16)^($F$12-4))</f>
        <v>20957.475591994596</v>
      </c>
      <c r="C32" s="19">
        <f t="shared" si="11"/>
        <v>44389</v>
      </c>
      <c r="D32" s="26">
        <f t="shared" si="3"/>
        <v>4</v>
      </c>
      <c r="E32" s="34">
        <f t="shared" si="4"/>
        <v>731388.20172708051</v>
      </c>
      <c r="F32" s="107">
        <f t="shared" si="5"/>
        <v>-22971</v>
      </c>
      <c r="G32" s="47">
        <f t="shared" si="6"/>
        <v>2013.5244080054035</v>
      </c>
      <c r="H32" s="60">
        <f t="shared" si="7"/>
        <v>710430.72613508592</v>
      </c>
      <c r="J32" s="74">
        <f t="shared" si="0"/>
        <v>4</v>
      </c>
      <c r="K32" s="48">
        <f t="shared" si="8"/>
        <v>727742.90204273094</v>
      </c>
      <c r="L32" s="43">
        <f t="shared" si="1"/>
        <v>-22052.815213416092</v>
      </c>
      <c r="M32" s="75">
        <f t="shared" si="2"/>
        <v>705690.08682931482</v>
      </c>
      <c r="N32" s="32"/>
      <c r="O32" s="76">
        <f t="shared" si="9"/>
        <v>-91884</v>
      </c>
      <c r="P32" s="39">
        <f t="shared" si="9"/>
        <v>8413.3784521065973</v>
      </c>
      <c r="Q32" s="88">
        <f t="shared" si="10"/>
        <v>88211.260853664367</v>
      </c>
      <c r="R32" s="86"/>
    </row>
    <row r="33" spans="1:18" x14ac:dyDescent="0.45">
      <c r="A33" s="3">
        <v>22971</v>
      </c>
      <c r="B33" s="103">
        <f>A33/((1+$F$16)^($F$12-5))</f>
        <v>21017.642381826729</v>
      </c>
      <c r="C33" s="19">
        <f t="shared" si="11"/>
        <v>44420</v>
      </c>
      <c r="D33" s="26">
        <f t="shared" si="3"/>
        <v>5</v>
      </c>
      <c r="E33" s="34">
        <f t="shared" si="4"/>
        <v>710430.72613508592</v>
      </c>
      <c r="F33" s="107">
        <f t="shared" si="5"/>
        <v>-22971</v>
      </c>
      <c r="G33" s="47">
        <f t="shared" si="6"/>
        <v>1953.3576181732715</v>
      </c>
      <c r="H33" s="60">
        <f t="shared" si="7"/>
        <v>689413.08375325915</v>
      </c>
      <c r="J33" s="74">
        <f t="shared" si="0"/>
        <v>5</v>
      </c>
      <c r="K33" s="48">
        <f t="shared" si="8"/>
        <v>705690.08682931482</v>
      </c>
      <c r="L33" s="43">
        <f t="shared" si="1"/>
        <v>-22052.815213416092</v>
      </c>
      <c r="M33" s="75">
        <f t="shared" si="2"/>
        <v>683637.2716158987</v>
      </c>
      <c r="N33" s="32"/>
      <c r="O33" s="76">
        <f t="shared" si="9"/>
        <v>-114855</v>
      </c>
      <c r="P33" s="39">
        <f t="shared" si="9"/>
        <v>10366.736070279869</v>
      </c>
      <c r="Q33" s="88">
        <f t="shared" si="10"/>
        <v>110264.07606708046</v>
      </c>
      <c r="R33" s="86"/>
    </row>
    <row r="34" spans="1:18" x14ac:dyDescent="0.45">
      <c r="A34" s="3">
        <v>22971</v>
      </c>
      <c r="B34" s="103">
        <f>A34/((1+$F$16)^($F$12-6))</f>
        <v>21077.981904418728</v>
      </c>
      <c r="C34" s="19">
        <f t="shared" si="11"/>
        <v>44451</v>
      </c>
      <c r="D34" s="26">
        <f t="shared" si="3"/>
        <v>6</v>
      </c>
      <c r="E34" s="34">
        <f t="shared" si="4"/>
        <v>689413.08375325915</v>
      </c>
      <c r="F34" s="107">
        <f t="shared" si="5"/>
        <v>-22971</v>
      </c>
      <c r="G34" s="47">
        <f t="shared" si="6"/>
        <v>1893.0180955812721</v>
      </c>
      <c r="H34" s="60">
        <f t="shared" si="7"/>
        <v>668335.10184884048</v>
      </c>
      <c r="J34" s="74">
        <f t="shared" si="0"/>
        <v>6</v>
      </c>
      <c r="K34" s="48">
        <f t="shared" si="8"/>
        <v>683637.2716158987</v>
      </c>
      <c r="L34" s="43">
        <f t="shared" si="1"/>
        <v>-22052.815213416092</v>
      </c>
      <c r="M34" s="75">
        <f t="shared" si="2"/>
        <v>661584.45640248258</v>
      </c>
      <c r="N34" s="32"/>
      <c r="O34" s="76">
        <f t="shared" si="9"/>
        <v>-137826</v>
      </c>
      <c r="P34" s="39">
        <f t="shared" si="9"/>
        <v>12259.754165861141</v>
      </c>
      <c r="Q34" s="88">
        <f t="shared" si="10"/>
        <v>132316.89128049655</v>
      </c>
      <c r="R34" s="86"/>
    </row>
    <row r="35" spans="1:18" x14ac:dyDescent="0.45">
      <c r="A35" s="3">
        <v>22971</v>
      </c>
      <c r="B35" s="103">
        <f>A35/((1+$F$16)^($F$12-7))</f>
        <v>21138.494655668848</v>
      </c>
      <c r="C35" s="19">
        <f t="shared" si="11"/>
        <v>44481</v>
      </c>
      <c r="D35" s="26">
        <f t="shared" si="3"/>
        <v>7</v>
      </c>
      <c r="E35" s="34">
        <f t="shared" si="4"/>
        <v>668335.10184884048</v>
      </c>
      <c r="F35" s="107">
        <f t="shared" si="5"/>
        <v>-22971</v>
      </c>
      <c r="G35" s="47">
        <f t="shared" si="6"/>
        <v>1832.5053443311517</v>
      </c>
      <c r="H35" s="60">
        <f t="shared" si="7"/>
        <v>647196.60719317163</v>
      </c>
      <c r="J35" s="74">
        <f t="shared" si="0"/>
        <v>7</v>
      </c>
      <c r="K35" s="48">
        <f t="shared" si="8"/>
        <v>661584.45640248258</v>
      </c>
      <c r="L35" s="43">
        <f t="shared" si="1"/>
        <v>-22052.815213416092</v>
      </c>
      <c r="M35" s="75">
        <f t="shared" si="2"/>
        <v>639531.64118906646</v>
      </c>
      <c r="N35" s="32"/>
      <c r="O35" s="76">
        <f t="shared" si="9"/>
        <v>-160797</v>
      </c>
      <c r="P35" s="39">
        <f t="shared" si="9"/>
        <v>14092.259510192293</v>
      </c>
      <c r="Q35" s="88">
        <f t="shared" si="10"/>
        <v>154369.70649391264</v>
      </c>
      <c r="R35" s="86"/>
    </row>
    <row r="36" spans="1:18" x14ac:dyDescent="0.45">
      <c r="A36" s="3">
        <v>22971</v>
      </c>
      <c r="B36" s="103">
        <f>A36/((1+$F$16)^($F$12-8))</f>
        <v>21199.181132899012</v>
      </c>
      <c r="C36" s="19">
        <f t="shared" si="11"/>
        <v>44512</v>
      </c>
      <c r="D36" s="26">
        <f t="shared" si="3"/>
        <v>8</v>
      </c>
      <c r="E36" s="34">
        <f t="shared" si="4"/>
        <v>647196.60719317163</v>
      </c>
      <c r="F36" s="107">
        <f t="shared" si="5"/>
        <v>-22971</v>
      </c>
      <c r="G36" s="47">
        <f t="shared" si="6"/>
        <v>1771.8188671009884</v>
      </c>
      <c r="H36" s="60">
        <f t="shared" si="7"/>
        <v>625997.42606027261</v>
      </c>
      <c r="J36" s="74">
        <f t="shared" si="0"/>
        <v>8</v>
      </c>
      <c r="K36" s="48">
        <f t="shared" si="8"/>
        <v>639531.64118906646</v>
      </c>
      <c r="L36" s="43">
        <f t="shared" si="1"/>
        <v>-22052.815213416092</v>
      </c>
      <c r="M36" s="75">
        <f t="shared" si="2"/>
        <v>617478.82597565034</v>
      </c>
      <c r="N36" s="32"/>
      <c r="O36" s="76">
        <f t="shared" si="9"/>
        <v>-183768</v>
      </c>
      <c r="P36" s="39">
        <f t="shared" si="9"/>
        <v>15864.078377293281</v>
      </c>
      <c r="Q36" s="88">
        <f t="shared" si="10"/>
        <v>176422.52170732873</v>
      </c>
      <c r="R36" s="86"/>
    </row>
    <row r="37" spans="1:18" x14ac:dyDescent="0.45">
      <c r="A37" s="3">
        <v>22971</v>
      </c>
      <c r="B37" s="103">
        <f>A37/((1+$F$16)^($F$12-9))</f>
        <v>21260.041834858926</v>
      </c>
      <c r="C37" s="19">
        <f t="shared" si="11"/>
        <v>44542</v>
      </c>
      <c r="D37" s="26">
        <f t="shared" si="3"/>
        <v>9</v>
      </c>
      <c r="E37" s="34">
        <f t="shared" si="4"/>
        <v>625997.42606027261</v>
      </c>
      <c r="F37" s="107">
        <f t="shared" si="5"/>
        <v>-22971</v>
      </c>
      <c r="G37" s="47">
        <f t="shared" si="6"/>
        <v>1710.9581651410736</v>
      </c>
      <c r="H37" s="60">
        <f t="shared" si="7"/>
        <v>604737.38422541367</v>
      </c>
      <c r="J37" s="74">
        <f t="shared" si="0"/>
        <v>9</v>
      </c>
      <c r="K37" s="48">
        <f t="shared" si="8"/>
        <v>617478.82597565034</v>
      </c>
      <c r="L37" s="43">
        <f t="shared" si="1"/>
        <v>-22052.815213416092</v>
      </c>
      <c r="M37" s="75">
        <f t="shared" si="2"/>
        <v>595426.01076223422</v>
      </c>
      <c r="N37" s="32"/>
      <c r="O37" s="76">
        <f t="shared" si="9"/>
        <v>-206739</v>
      </c>
      <c r="P37" s="39">
        <f t="shared" si="9"/>
        <v>17575.036542434354</v>
      </c>
      <c r="Q37" s="88">
        <f t="shared" si="10"/>
        <v>198475.33692074483</v>
      </c>
      <c r="R37" s="86"/>
    </row>
    <row r="38" spans="1:18" x14ac:dyDescent="0.45">
      <c r="A38" s="3">
        <v>22971</v>
      </c>
      <c r="B38" s="103">
        <f>A38/((1+$F$16)^($F$12-10))</f>
        <v>21321.077261730137</v>
      </c>
      <c r="C38" s="19">
        <f t="shared" si="11"/>
        <v>44573</v>
      </c>
      <c r="D38" s="26">
        <f t="shared" si="3"/>
        <v>10</v>
      </c>
      <c r="E38" s="34">
        <f t="shared" si="4"/>
        <v>604737.38422541367</v>
      </c>
      <c r="F38" s="107">
        <f t="shared" si="5"/>
        <v>-22971</v>
      </c>
      <c r="G38" s="47">
        <f t="shared" si="6"/>
        <v>1649.9227382698627</v>
      </c>
      <c r="H38" s="60">
        <f t="shared" si="7"/>
        <v>583416.30696368357</v>
      </c>
      <c r="J38" s="74">
        <f t="shared" si="0"/>
        <v>10</v>
      </c>
      <c r="K38" s="48">
        <f t="shared" si="8"/>
        <v>595426.01076223422</v>
      </c>
      <c r="L38" s="43">
        <f t="shared" si="1"/>
        <v>-22052.815213416092</v>
      </c>
      <c r="M38" s="75">
        <f t="shared" si="2"/>
        <v>573373.1955488181</v>
      </c>
      <c r="N38" s="32"/>
      <c r="O38" s="76">
        <f t="shared" si="9"/>
        <v>-229710</v>
      </c>
      <c r="P38" s="39">
        <f t="shared" si="9"/>
        <v>19224.959280704217</v>
      </c>
      <c r="Q38" s="88">
        <f t="shared" si="10"/>
        <v>220528.15213416092</v>
      </c>
      <c r="R38" s="87"/>
    </row>
    <row r="39" spans="1:18" x14ac:dyDescent="0.45">
      <c r="A39" s="3">
        <v>22971</v>
      </c>
      <c r="B39" s="103">
        <f>A39/((1+$F$16)^($F$12-11))</f>
        <v>21382.287915130171</v>
      </c>
      <c r="C39" s="19">
        <f t="shared" si="11"/>
        <v>44604</v>
      </c>
      <c r="D39" s="26">
        <f t="shared" si="3"/>
        <v>11</v>
      </c>
      <c r="E39" s="34">
        <f t="shared" si="4"/>
        <v>583416.30696368357</v>
      </c>
      <c r="F39" s="107">
        <f t="shared" si="5"/>
        <v>-22971</v>
      </c>
      <c r="G39" s="47">
        <f t="shared" si="6"/>
        <v>1588.7120848698287</v>
      </c>
      <c r="H39" s="60">
        <f t="shared" si="7"/>
        <v>562034.01904855343</v>
      </c>
      <c r="J39" s="74">
        <f t="shared" si="0"/>
        <v>11</v>
      </c>
      <c r="K39" s="48">
        <f t="shared" si="8"/>
        <v>573373.1955488181</v>
      </c>
      <c r="L39" s="43">
        <f t="shared" si="1"/>
        <v>-22052.815213416092</v>
      </c>
      <c r="M39" s="75">
        <f t="shared" si="2"/>
        <v>551320.38033540198</v>
      </c>
      <c r="N39" s="32"/>
      <c r="O39" s="76">
        <f t="shared" si="9"/>
        <v>-252681</v>
      </c>
      <c r="P39" s="39">
        <f t="shared" si="9"/>
        <v>20813.671365574046</v>
      </c>
      <c r="Q39" s="88">
        <f t="shared" si="10"/>
        <v>242580.96734757701</v>
      </c>
      <c r="R39" s="87"/>
    </row>
    <row r="40" spans="1:18" x14ac:dyDescent="0.45">
      <c r="A40" s="3">
        <v>22971</v>
      </c>
      <c r="B40" s="103">
        <f>A40/((1+$F$16)^($F$12-12))</f>
        <v>21443.67429811665</v>
      </c>
      <c r="C40" s="19">
        <f t="shared" si="11"/>
        <v>44632</v>
      </c>
      <c r="D40" s="26">
        <f t="shared" si="3"/>
        <v>12</v>
      </c>
      <c r="E40" s="34">
        <f t="shared" si="4"/>
        <v>562034.01904855343</v>
      </c>
      <c r="F40" s="107">
        <f t="shared" si="5"/>
        <v>-22971</v>
      </c>
      <c r="G40" s="47">
        <f t="shared" si="6"/>
        <v>1527.3257018833501</v>
      </c>
      <c r="H40" s="60">
        <f t="shared" si="7"/>
        <v>540590.34475043672</v>
      </c>
      <c r="J40" s="74">
        <f t="shared" si="0"/>
        <v>12</v>
      </c>
      <c r="K40" s="48">
        <f t="shared" si="8"/>
        <v>551320.38033540198</v>
      </c>
      <c r="L40" s="43">
        <f t="shared" si="1"/>
        <v>-22052.815213416092</v>
      </c>
      <c r="M40" s="75">
        <f t="shared" si="2"/>
        <v>529267.56512198586</v>
      </c>
      <c r="N40" s="32"/>
      <c r="O40" s="76">
        <f t="shared" si="9"/>
        <v>-275652</v>
      </c>
      <c r="P40" s="39">
        <f t="shared" si="9"/>
        <v>22340.997067457396</v>
      </c>
      <c r="Q40" s="88">
        <f t="shared" si="10"/>
        <v>264633.7825609931</v>
      </c>
      <c r="R40" s="87"/>
    </row>
    <row r="41" spans="1:18" x14ac:dyDescent="0.45">
      <c r="A41" s="3">
        <v>23172.5</v>
      </c>
      <c r="B41" s="103">
        <f>A41/((1+$F$16)^($F$12-13))</f>
        <v>21693.879344272031</v>
      </c>
      <c r="C41" s="19">
        <f t="shared" si="11"/>
        <v>44663</v>
      </c>
      <c r="D41" s="26">
        <f t="shared" si="3"/>
        <v>13</v>
      </c>
      <c r="E41" s="34">
        <f t="shared" si="4"/>
        <v>540590.34475043672</v>
      </c>
      <c r="F41" s="107">
        <f t="shared" si="5"/>
        <v>-23172.5</v>
      </c>
      <c r="G41" s="47">
        <f t="shared" si="6"/>
        <v>1478.6206557279693</v>
      </c>
      <c r="H41" s="60">
        <f t="shared" si="7"/>
        <v>518896.4654061647</v>
      </c>
      <c r="J41" s="74">
        <f t="shared" si="0"/>
        <v>13</v>
      </c>
      <c r="K41" s="48">
        <f t="shared" si="8"/>
        <v>529267.56512198586</v>
      </c>
      <c r="L41" s="43">
        <f t="shared" ref="L41:L64" si="12">-$M$22/$F$12</f>
        <v>-22052.815213416092</v>
      </c>
      <c r="M41" s="75">
        <f t="shared" si="2"/>
        <v>507214.74990856973</v>
      </c>
      <c r="N41" s="32"/>
      <c r="O41" s="76">
        <f t="shared" si="9"/>
        <v>-298824.5</v>
      </c>
      <c r="P41" s="39">
        <f t="shared" si="9"/>
        <v>23819.617723185365</v>
      </c>
      <c r="Q41" s="88">
        <f t="shared" si="10"/>
        <v>286686.59777440922</v>
      </c>
      <c r="R41" s="87"/>
    </row>
    <row r="42" spans="1:18" x14ac:dyDescent="0.45">
      <c r="A42" s="3">
        <v>23172.5</v>
      </c>
      <c r="B42" s="103">
        <f>A42/((1+$F$16)^($F$12-14))</f>
        <v>21756.160274693306</v>
      </c>
      <c r="C42" s="19">
        <f t="shared" si="11"/>
        <v>44693</v>
      </c>
      <c r="D42" s="26">
        <f t="shared" si="3"/>
        <v>14</v>
      </c>
      <c r="E42" s="34">
        <f t="shared" si="4"/>
        <v>518896.4654061647</v>
      </c>
      <c r="F42" s="107">
        <f t="shared" si="5"/>
        <v>-23172.5</v>
      </c>
      <c r="G42" s="47">
        <f t="shared" si="6"/>
        <v>1416.3397253066942</v>
      </c>
      <c r="H42" s="60">
        <f t="shared" si="7"/>
        <v>497140.30513147137</v>
      </c>
      <c r="J42" s="74">
        <f t="shared" si="0"/>
        <v>14</v>
      </c>
      <c r="K42" s="48">
        <f t="shared" si="8"/>
        <v>507214.74990856973</v>
      </c>
      <c r="L42" s="43">
        <f t="shared" si="12"/>
        <v>-22052.815213416092</v>
      </c>
      <c r="M42" s="75">
        <f t="shared" si="2"/>
        <v>485161.93469515361</v>
      </c>
      <c r="N42" s="32"/>
      <c r="O42" s="76">
        <f t="shared" si="9"/>
        <v>-321997</v>
      </c>
      <c r="P42" s="39">
        <f t="shared" si="9"/>
        <v>25235.957448492059</v>
      </c>
      <c r="Q42" s="88">
        <f t="shared" si="10"/>
        <v>308739.41298782534</v>
      </c>
      <c r="R42" s="87"/>
    </row>
    <row r="43" spans="1:18" x14ac:dyDescent="0.45">
      <c r="A43" s="3">
        <v>23172.5</v>
      </c>
      <c r="B43" s="103">
        <f>A43/((1+$F$16)^($F$12-15))</f>
        <v>21818.620007357949</v>
      </c>
      <c r="C43" s="19">
        <f t="shared" si="11"/>
        <v>44724</v>
      </c>
      <c r="D43" s="26">
        <f t="shared" si="3"/>
        <v>15</v>
      </c>
      <c r="E43" s="34">
        <f t="shared" si="4"/>
        <v>497140.30513147137</v>
      </c>
      <c r="F43" s="107">
        <f t="shared" si="5"/>
        <v>-23172.5</v>
      </c>
      <c r="G43" s="47">
        <f t="shared" si="6"/>
        <v>1353.8799926420506</v>
      </c>
      <c r="H43" s="60">
        <f t="shared" si="7"/>
        <v>475321.6851241134</v>
      </c>
      <c r="J43" s="74">
        <f t="shared" si="0"/>
        <v>15</v>
      </c>
      <c r="K43" s="48">
        <f t="shared" si="8"/>
        <v>485161.93469515361</v>
      </c>
      <c r="L43" s="43">
        <f t="shared" si="12"/>
        <v>-22052.815213416092</v>
      </c>
      <c r="M43" s="75">
        <f t="shared" si="2"/>
        <v>463109.11948173749</v>
      </c>
      <c r="N43" s="32"/>
      <c r="O43" s="76">
        <f t="shared" si="9"/>
        <v>-345169.5</v>
      </c>
      <c r="P43" s="39">
        <f t="shared" si="9"/>
        <v>26589.83744113411</v>
      </c>
      <c r="Q43" s="88">
        <f t="shared" si="10"/>
        <v>330792.22820124147</v>
      </c>
      <c r="R43" s="87"/>
    </row>
    <row r="44" spans="1:18" x14ac:dyDescent="0.45">
      <c r="A44" s="3">
        <v>23172.5</v>
      </c>
      <c r="B44" s="103">
        <f>A44/((1+$F$16)^($F$12-16))</f>
        <v>21881.259055589093</v>
      </c>
      <c r="C44" s="19">
        <f t="shared" si="11"/>
        <v>44754</v>
      </c>
      <c r="D44" s="26">
        <f t="shared" si="3"/>
        <v>16</v>
      </c>
      <c r="E44" s="34">
        <f t="shared" si="4"/>
        <v>475321.6851241134</v>
      </c>
      <c r="F44" s="107">
        <f t="shared" si="5"/>
        <v>-23172.5</v>
      </c>
      <c r="G44" s="47">
        <f t="shared" si="6"/>
        <v>1291.2409444109071</v>
      </c>
      <c r="H44" s="60">
        <f t="shared" si="7"/>
        <v>453440.42606852431</v>
      </c>
      <c r="J44" s="74">
        <f t="shared" si="0"/>
        <v>16</v>
      </c>
      <c r="K44" s="48">
        <f t="shared" si="8"/>
        <v>463109.11948173749</v>
      </c>
      <c r="L44" s="43">
        <f t="shared" si="12"/>
        <v>-22052.815213416092</v>
      </c>
      <c r="M44" s="75">
        <f t="shared" si="2"/>
        <v>441056.30426832137</v>
      </c>
      <c r="N44" s="32"/>
      <c r="O44" s="76">
        <f t="shared" si="9"/>
        <v>-368342</v>
      </c>
      <c r="P44" s="39">
        <f t="shared" si="9"/>
        <v>27881.078385545017</v>
      </c>
      <c r="Q44" s="88">
        <f t="shared" si="10"/>
        <v>352845.04341465759</v>
      </c>
      <c r="R44" s="87"/>
    </row>
    <row r="45" spans="1:18" x14ac:dyDescent="0.45">
      <c r="A45" s="3">
        <v>23172.5</v>
      </c>
      <c r="B45" s="103">
        <f>A45/((1+$F$16)^($F$12-17))</f>
        <v>21944.077934183566</v>
      </c>
      <c r="C45" s="19">
        <f t="shared" si="11"/>
        <v>44785</v>
      </c>
      <c r="D45" s="26">
        <f t="shared" si="3"/>
        <v>17</v>
      </c>
      <c r="E45" s="34">
        <f t="shared" si="4"/>
        <v>453440.42606852431</v>
      </c>
      <c r="F45" s="107">
        <f t="shared" si="5"/>
        <v>-23172.5</v>
      </c>
      <c r="G45" s="47">
        <f t="shared" si="6"/>
        <v>1228.422065816434</v>
      </c>
      <c r="H45" s="60">
        <f t="shared" si="7"/>
        <v>431496.34813434072</v>
      </c>
      <c r="J45" s="74">
        <f t="shared" si="0"/>
        <v>17</v>
      </c>
      <c r="K45" s="48">
        <f t="shared" si="8"/>
        <v>441056.30426832137</v>
      </c>
      <c r="L45" s="43">
        <f t="shared" si="12"/>
        <v>-22052.815213416092</v>
      </c>
      <c r="M45" s="75">
        <f t="shared" si="2"/>
        <v>419003.48905490525</v>
      </c>
      <c r="N45" s="32"/>
      <c r="O45" s="76">
        <f t="shared" si="9"/>
        <v>-391514.5</v>
      </c>
      <c r="P45" s="39">
        <f t="shared" si="9"/>
        <v>29109.500451361451</v>
      </c>
      <c r="Q45" s="88">
        <f t="shared" si="10"/>
        <v>374897.85862807371</v>
      </c>
      <c r="R45" s="87"/>
    </row>
    <row r="46" spans="1:18" x14ac:dyDescent="0.45">
      <c r="A46" s="3">
        <v>23172.5</v>
      </c>
      <c r="B46" s="103">
        <f>A46/((1+$F$16)^($F$12-18))</f>
        <v>22007.077159416134</v>
      </c>
      <c r="C46" s="19">
        <f t="shared" si="11"/>
        <v>44816</v>
      </c>
      <c r="D46" s="26">
        <f t="shared" si="3"/>
        <v>18</v>
      </c>
      <c r="E46" s="34">
        <f t="shared" si="4"/>
        <v>431496.34813434072</v>
      </c>
      <c r="F46" s="107">
        <f t="shared" si="5"/>
        <v>-23172.5</v>
      </c>
      <c r="G46" s="47">
        <f t="shared" si="6"/>
        <v>1165.4228405838658</v>
      </c>
      <c r="H46" s="60">
        <f t="shared" si="7"/>
        <v>409489.27097492456</v>
      </c>
      <c r="J46" s="74">
        <f t="shared" si="0"/>
        <v>18</v>
      </c>
      <c r="K46" s="48">
        <f t="shared" si="8"/>
        <v>419003.48905490525</v>
      </c>
      <c r="L46" s="43">
        <f t="shared" si="12"/>
        <v>-22052.815213416092</v>
      </c>
      <c r="M46" s="75">
        <f t="shared" si="2"/>
        <v>396950.67384148913</v>
      </c>
      <c r="N46" s="32"/>
      <c r="O46" s="76">
        <f t="shared" ref="O46:P61" si="13">+O45+F46</f>
        <v>-414687</v>
      </c>
      <c r="P46" s="39">
        <f t="shared" si="13"/>
        <v>30274.923291945317</v>
      </c>
      <c r="Q46" s="88">
        <f t="shared" si="10"/>
        <v>396950.67384148983</v>
      </c>
      <c r="R46" s="87"/>
    </row>
    <row r="47" spans="1:18" x14ac:dyDescent="0.45">
      <c r="A47" s="3">
        <v>23172.5</v>
      </c>
      <c r="B47" s="103">
        <f>A47/((1+$F$16)^($F$12-19))</f>
        <v>22070.257249043716</v>
      </c>
      <c r="C47" s="19">
        <f t="shared" si="11"/>
        <v>44846</v>
      </c>
      <c r="D47" s="26">
        <f t="shared" si="3"/>
        <v>19</v>
      </c>
      <c r="E47" s="34">
        <f t="shared" si="4"/>
        <v>409489.27097492456</v>
      </c>
      <c r="F47" s="107">
        <f t="shared" si="5"/>
        <v>-23172.5</v>
      </c>
      <c r="G47" s="47">
        <f t="shared" si="6"/>
        <v>1102.242750956284</v>
      </c>
      <c r="H47" s="60">
        <f t="shared" si="7"/>
        <v>387419.01372588082</v>
      </c>
      <c r="J47" s="74">
        <f t="shared" si="0"/>
        <v>19</v>
      </c>
      <c r="K47" s="48">
        <f t="shared" si="8"/>
        <v>396950.67384148913</v>
      </c>
      <c r="L47" s="43">
        <f t="shared" si="12"/>
        <v>-22052.815213416092</v>
      </c>
      <c r="M47" s="75">
        <f t="shared" si="2"/>
        <v>374897.85862807301</v>
      </c>
      <c r="N47" s="32"/>
      <c r="O47" s="76">
        <f t="shared" si="13"/>
        <v>-437859.5</v>
      </c>
      <c r="P47" s="39">
        <f t="shared" si="13"/>
        <v>31377.166042901601</v>
      </c>
      <c r="Q47" s="88">
        <f t="shared" si="10"/>
        <v>419003.48905490595</v>
      </c>
      <c r="R47" s="87"/>
    </row>
    <row r="48" spans="1:18" x14ac:dyDescent="0.45">
      <c r="A48" s="3">
        <v>23172.5</v>
      </c>
      <c r="B48" s="103">
        <f>A48/((1+$F$16)^($F$12-20))</f>
        <v>22133.618722309689</v>
      </c>
      <c r="C48" s="19">
        <f t="shared" si="11"/>
        <v>44877</v>
      </c>
      <c r="D48" s="26">
        <f t="shared" si="3"/>
        <v>20</v>
      </c>
      <c r="E48" s="34">
        <f t="shared" si="4"/>
        <v>387419.01372588082</v>
      </c>
      <c r="F48" s="107">
        <f t="shared" si="5"/>
        <v>-23172.5</v>
      </c>
      <c r="G48" s="47">
        <f t="shared" si="6"/>
        <v>1038.8812776903105</v>
      </c>
      <c r="H48" s="60">
        <f t="shared" si="7"/>
        <v>365285.39500357112</v>
      </c>
      <c r="J48" s="74">
        <f t="shared" si="0"/>
        <v>20</v>
      </c>
      <c r="K48" s="48">
        <f t="shared" si="8"/>
        <v>374897.85862807301</v>
      </c>
      <c r="L48" s="43">
        <f t="shared" si="12"/>
        <v>-22052.815213416092</v>
      </c>
      <c r="M48" s="75">
        <f t="shared" si="2"/>
        <v>352845.04341465689</v>
      </c>
      <c r="N48" s="32"/>
      <c r="O48" s="76">
        <f t="shared" si="13"/>
        <v>-461032</v>
      </c>
      <c r="P48" s="39">
        <f t="shared" si="13"/>
        <v>32416.047320591912</v>
      </c>
      <c r="Q48" s="88">
        <f t="shared" si="10"/>
        <v>441056.30426832207</v>
      </c>
      <c r="R48" s="87"/>
    </row>
    <row r="49" spans="1:18" x14ac:dyDescent="0.45">
      <c r="A49" s="3">
        <v>23172.5</v>
      </c>
      <c r="B49" s="103">
        <f>A49/((1+$F$16)^($F$12-21))</f>
        <v>22197.162099948095</v>
      </c>
      <c r="C49" s="19">
        <f t="shared" si="11"/>
        <v>44907</v>
      </c>
      <c r="D49" s="26">
        <f t="shared" si="3"/>
        <v>21</v>
      </c>
      <c r="E49" s="34">
        <f t="shared" si="4"/>
        <v>365285.39500357112</v>
      </c>
      <c r="F49" s="107">
        <f t="shared" si="5"/>
        <v>-23172.5</v>
      </c>
      <c r="G49" s="47">
        <f t="shared" si="6"/>
        <v>975.33790005190531</v>
      </c>
      <c r="H49" s="60">
        <f t="shared" si="7"/>
        <v>343088.23290362302</v>
      </c>
      <c r="J49" s="74">
        <f t="shared" si="0"/>
        <v>21</v>
      </c>
      <c r="K49" s="48">
        <f t="shared" si="8"/>
        <v>352845.04341465689</v>
      </c>
      <c r="L49" s="43">
        <f t="shared" si="12"/>
        <v>-22052.815213416092</v>
      </c>
      <c r="M49" s="75">
        <f t="shared" si="2"/>
        <v>330792.22820124077</v>
      </c>
      <c r="N49" s="80"/>
      <c r="O49" s="76">
        <f t="shared" si="13"/>
        <v>-484204.5</v>
      </c>
      <c r="P49" s="39">
        <f t="shared" si="13"/>
        <v>33391.385220643817</v>
      </c>
      <c r="Q49" s="88">
        <f t="shared" si="10"/>
        <v>463109.11948173819</v>
      </c>
      <c r="R49" s="87"/>
    </row>
    <row r="50" spans="1:18" x14ac:dyDescent="0.45">
      <c r="A50" s="3">
        <v>23172.5</v>
      </c>
      <c r="B50" s="103">
        <f>A50/((1+$F$16)^($F$12-22))</f>
        <v>22260.887904187974</v>
      </c>
      <c r="C50" s="19">
        <f t="shared" si="11"/>
        <v>44938</v>
      </c>
      <c r="D50" s="26">
        <f t="shared" si="3"/>
        <v>22</v>
      </c>
      <c r="E50" s="34">
        <f t="shared" si="4"/>
        <v>343088.23290362302</v>
      </c>
      <c r="F50" s="107">
        <f t="shared" si="5"/>
        <v>-23172.5</v>
      </c>
      <c r="G50" s="47">
        <f t="shared" si="6"/>
        <v>911.61209581202638</v>
      </c>
      <c r="H50" s="60">
        <f t="shared" si="7"/>
        <v>320827.34499943507</v>
      </c>
      <c r="J50" s="74">
        <f t="shared" si="0"/>
        <v>22</v>
      </c>
      <c r="K50" s="48">
        <f t="shared" si="8"/>
        <v>330792.22820124077</v>
      </c>
      <c r="L50" s="43">
        <f t="shared" si="12"/>
        <v>-22052.815213416092</v>
      </c>
      <c r="M50" s="75">
        <f t="shared" si="2"/>
        <v>308739.41298782465</v>
      </c>
      <c r="N50" s="32"/>
      <c r="O50" s="76">
        <f t="shared" si="13"/>
        <v>-507377</v>
      </c>
      <c r="P50" s="39">
        <f t="shared" si="13"/>
        <v>34302.997316455847</v>
      </c>
      <c r="Q50" s="88">
        <f t="shared" si="10"/>
        <v>485161.93469515431</v>
      </c>
      <c r="R50" s="32"/>
    </row>
    <row r="51" spans="1:18" x14ac:dyDescent="0.45">
      <c r="A51" s="3">
        <v>23172.5</v>
      </c>
      <c r="B51" s="103">
        <f>A51/((1+$F$16)^($F$12-23))</f>
        <v>22324.796658757619</v>
      </c>
      <c r="C51" s="19">
        <f t="shared" si="11"/>
        <v>44969</v>
      </c>
      <c r="D51" s="26">
        <f t="shared" si="3"/>
        <v>23</v>
      </c>
      <c r="E51" s="34">
        <f t="shared" si="4"/>
        <v>320827.34499943507</v>
      </c>
      <c r="F51" s="107">
        <f t="shared" si="5"/>
        <v>-23172.5</v>
      </c>
      <c r="G51" s="47">
        <f t="shared" si="6"/>
        <v>847.7033412423807</v>
      </c>
      <c r="H51" s="60">
        <f t="shared" si="7"/>
        <v>298502.54834067746</v>
      </c>
      <c r="J51" s="74">
        <f t="shared" si="0"/>
        <v>23</v>
      </c>
      <c r="K51" s="48">
        <f t="shared" si="8"/>
        <v>308739.41298782465</v>
      </c>
      <c r="L51" s="43">
        <f t="shared" si="12"/>
        <v>-22052.815213416092</v>
      </c>
      <c r="M51" s="75">
        <f t="shared" si="2"/>
        <v>286686.59777440852</v>
      </c>
      <c r="N51" s="32"/>
      <c r="O51" s="76">
        <f t="shared" si="13"/>
        <v>-530549.5</v>
      </c>
      <c r="P51" s="39">
        <f t="shared" si="13"/>
        <v>35150.700657698224</v>
      </c>
      <c r="Q51" s="88">
        <f t="shared" si="10"/>
        <v>507214.74990857043</v>
      </c>
      <c r="R51" s="32"/>
    </row>
    <row r="52" spans="1:18" x14ac:dyDescent="0.45">
      <c r="A52" s="3">
        <v>23172.5</v>
      </c>
      <c r="B52" s="103">
        <f>A52/((1+$F$16)^($F$12-24))</f>
        <v>22388.888888888891</v>
      </c>
      <c r="C52" s="19">
        <f t="shared" si="11"/>
        <v>44997</v>
      </c>
      <c r="D52" s="26">
        <f t="shared" si="3"/>
        <v>24</v>
      </c>
      <c r="E52" s="34">
        <f t="shared" si="4"/>
        <v>298502.54834067746</v>
      </c>
      <c r="F52" s="107">
        <f t="shared" si="5"/>
        <v>-23172.5</v>
      </c>
      <c r="G52" s="47">
        <f t="shared" si="6"/>
        <v>783.61111111110949</v>
      </c>
      <c r="H52" s="60">
        <f t="shared" si="7"/>
        <v>276113.65945178858</v>
      </c>
      <c r="J52" s="74">
        <f t="shared" si="0"/>
        <v>24</v>
      </c>
      <c r="K52" s="48">
        <f t="shared" si="8"/>
        <v>286686.59777440852</v>
      </c>
      <c r="L52" s="43">
        <f t="shared" si="12"/>
        <v>-22052.815213416092</v>
      </c>
      <c r="M52" s="75">
        <f t="shared" si="2"/>
        <v>264633.7825609924</v>
      </c>
      <c r="N52" s="32"/>
      <c r="O52" s="76">
        <f t="shared" si="13"/>
        <v>-553722</v>
      </c>
      <c r="P52" s="39">
        <f t="shared" si="13"/>
        <v>35934.311768809333</v>
      </c>
      <c r="Q52" s="88">
        <f t="shared" si="10"/>
        <v>529267.56512198655</v>
      </c>
      <c r="R52" s="32"/>
    </row>
    <row r="53" spans="1:18" x14ac:dyDescent="0.45">
      <c r="A53" s="3">
        <v>23374</v>
      </c>
      <c r="B53" s="103">
        <f>A53/((1+$F$16)^($F$12-25))</f>
        <v>22648.410035420002</v>
      </c>
      <c r="C53" s="19">
        <f t="shared" si="11"/>
        <v>45028</v>
      </c>
      <c r="D53" s="26">
        <f t="shared" si="3"/>
        <v>25</v>
      </c>
      <c r="E53" s="34">
        <f t="shared" si="4"/>
        <v>276113.65945178858</v>
      </c>
      <c r="F53" s="107">
        <f t="shared" si="5"/>
        <v>-23374</v>
      </c>
      <c r="G53" s="47">
        <f t="shared" si="6"/>
        <v>725.5899645799982</v>
      </c>
      <c r="H53" s="60">
        <f t="shared" si="7"/>
        <v>253465.24941636858</v>
      </c>
      <c r="J53" s="74">
        <f t="shared" si="0"/>
        <v>25</v>
      </c>
      <c r="K53" s="48">
        <f t="shared" si="8"/>
        <v>264633.7825609924</v>
      </c>
      <c r="L53" s="43">
        <f t="shared" si="12"/>
        <v>-22052.815213416092</v>
      </c>
      <c r="M53" s="75">
        <f t="shared" si="2"/>
        <v>242580.96734757631</v>
      </c>
      <c r="N53" s="32"/>
      <c r="O53" s="76">
        <f t="shared" si="13"/>
        <v>-577096</v>
      </c>
      <c r="P53" s="39">
        <f t="shared" si="13"/>
        <v>36659.901733389328</v>
      </c>
      <c r="Q53" s="88">
        <f t="shared" si="10"/>
        <v>551320.38033540267</v>
      </c>
      <c r="R53" s="32"/>
    </row>
    <row r="54" spans="1:18" x14ac:dyDescent="0.45">
      <c r="A54" s="3">
        <v>23374</v>
      </c>
      <c r="B54" s="103">
        <f>A54/((1+$F$16)^($F$12-26))</f>
        <v>22713.43132677981</v>
      </c>
      <c r="C54" s="19">
        <f t="shared" si="11"/>
        <v>45058</v>
      </c>
      <c r="D54" s="26">
        <f t="shared" si="3"/>
        <v>26</v>
      </c>
      <c r="E54" s="34">
        <f t="shared" si="4"/>
        <v>253465.24941636858</v>
      </c>
      <c r="F54" s="107">
        <f t="shared" si="5"/>
        <v>-23374</v>
      </c>
      <c r="G54" s="47">
        <f t="shared" si="6"/>
        <v>660.56867322019025</v>
      </c>
      <c r="H54" s="60">
        <f t="shared" si="7"/>
        <v>230751.81808958878</v>
      </c>
      <c r="J54" s="74">
        <f t="shared" si="0"/>
        <v>26</v>
      </c>
      <c r="K54" s="48">
        <f t="shared" si="8"/>
        <v>242580.96734757631</v>
      </c>
      <c r="L54" s="43">
        <f t="shared" si="12"/>
        <v>-22052.815213416092</v>
      </c>
      <c r="M54" s="75">
        <f t="shared" si="2"/>
        <v>220528.15213416022</v>
      </c>
      <c r="N54" s="32"/>
      <c r="O54" s="76">
        <f t="shared" si="13"/>
        <v>-600470</v>
      </c>
      <c r="P54" s="39">
        <f t="shared" si="13"/>
        <v>37320.470406609515</v>
      </c>
      <c r="Q54" s="88">
        <f t="shared" si="10"/>
        <v>573373.1955488188</v>
      </c>
      <c r="R54" s="32"/>
    </row>
    <row r="55" spans="1:18" x14ac:dyDescent="0.45">
      <c r="A55" s="3">
        <v>23374</v>
      </c>
      <c r="B55" s="103">
        <f>A55/((1+$F$16)^($F$12-27))</f>
        <v>22778.639287681694</v>
      </c>
      <c r="C55" s="19">
        <f t="shared" si="11"/>
        <v>45089</v>
      </c>
      <c r="D55" s="26">
        <f t="shared" si="3"/>
        <v>27</v>
      </c>
      <c r="E55" s="34">
        <f t="shared" si="4"/>
        <v>230751.81808958878</v>
      </c>
      <c r="F55" s="107">
        <f t="shared" si="5"/>
        <v>-23374</v>
      </c>
      <c r="G55" s="47">
        <f t="shared" si="6"/>
        <v>595.36071231830647</v>
      </c>
      <c r="H55" s="60">
        <f t="shared" si="7"/>
        <v>207973.17880190708</v>
      </c>
      <c r="J55" s="74">
        <f t="shared" si="0"/>
        <v>27</v>
      </c>
      <c r="K55" s="48">
        <f t="shared" si="8"/>
        <v>220528.15213416022</v>
      </c>
      <c r="L55" s="43">
        <f t="shared" si="12"/>
        <v>-22052.815213416092</v>
      </c>
      <c r="M55" s="75">
        <f t="shared" si="2"/>
        <v>198475.33692074413</v>
      </c>
      <c r="N55" s="32"/>
      <c r="O55" s="76">
        <f t="shared" si="13"/>
        <v>-623844</v>
      </c>
      <c r="P55" s="39">
        <f t="shared" si="13"/>
        <v>37915.831118927817</v>
      </c>
      <c r="Q55" s="88">
        <f t="shared" si="10"/>
        <v>595426.01076223492</v>
      </c>
      <c r="R55" s="32"/>
    </row>
    <row r="56" spans="1:18" x14ac:dyDescent="0.45">
      <c r="A56" s="3">
        <v>23374</v>
      </c>
      <c r="B56" s="103">
        <f>A56/((1+$F$16)^($F$12-28))</f>
        <v>22844.034454035009</v>
      </c>
      <c r="C56" s="19">
        <f t="shared" si="11"/>
        <v>45119</v>
      </c>
      <c r="D56" s="26">
        <f t="shared" si="3"/>
        <v>28</v>
      </c>
      <c r="E56" s="34">
        <f t="shared" si="4"/>
        <v>207973.17880190708</v>
      </c>
      <c r="F56" s="107">
        <f t="shared" si="5"/>
        <v>-23374</v>
      </c>
      <c r="G56" s="47">
        <f t="shared" si="6"/>
        <v>529.96554596499118</v>
      </c>
      <c r="H56" s="60">
        <f t="shared" si="7"/>
        <v>185129.14434787206</v>
      </c>
      <c r="J56" s="74">
        <f t="shared" si="0"/>
        <v>28</v>
      </c>
      <c r="K56" s="48">
        <f t="shared" si="8"/>
        <v>198475.33692074413</v>
      </c>
      <c r="L56" s="43">
        <f t="shared" si="12"/>
        <v>-22052.815213416092</v>
      </c>
      <c r="M56" s="75">
        <f t="shared" si="2"/>
        <v>176422.52170732804</v>
      </c>
      <c r="N56" s="32"/>
      <c r="O56" s="76">
        <f t="shared" si="13"/>
        <v>-647218</v>
      </c>
      <c r="P56" s="39">
        <f t="shared" si="13"/>
        <v>38445.796664892812</v>
      </c>
      <c r="Q56" s="88">
        <f t="shared" si="10"/>
        <v>617478.82597565104</v>
      </c>
      <c r="R56" s="32"/>
    </row>
    <row r="57" spans="1:18" x14ac:dyDescent="0.45">
      <c r="A57" s="3">
        <v>23374</v>
      </c>
      <c r="B57" s="103">
        <f>A57/((1+$F$16)^($F$12-29))</f>
        <v>22909.617363287638</v>
      </c>
      <c r="C57" s="19">
        <f t="shared" si="11"/>
        <v>45150</v>
      </c>
      <c r="D57" s="26">
        <f t="shared" si="3"/>
        <v>29</v>
      </c>
      <c r="E57" s="34">
        <f t="shared" si="4"/>
        <v>185129.14434787206</v>
      </c>
      <c r="F57" s="107">
        <f t="shared" si="5"/>
        <v>-23374</v>
      </c>
      <c r="G57" s="47">
        <f t="shared" si="6"/>
        <v>464.382636712362</v>
      </c>
      <c r="H57" s="60">
        <f t="shared" si="7"/>
        <v>162219.52698458443</v>
      </c>
      <c r="J57" s="74">
        <f t="shared" si="0"/>
        <v>29</v>
      </c>
      <c r="K57" s="48">
        <f t="shared" si="8"/>
        <v>176422.52170732804</v>
      </c>
      <c r="L57" s="43">
        <f t="shared" si="12"/>
        <v>-22052.815213416092</v>
      </c>
      <c r="M57" s="75">
        <f t="shared" si="2"/>
        <v>154369.70649391194</v>
      </c>
      <c r="N57" s="32"/>
      <c r="O57" s="76">
        <f t="shared" si="13"/>
        <v>-670592</v>
      </c>
      <c r="P57" s="39">
        <f t="shared" si="13"/>
        <v>38910.179301605174</v>
      </c>
      <c r="Q57" s="88">
        <f t="shared" si="10"/>
        <v>639531.64118906716</v>
      </c>
      <c r="R57" s="32"/>
    </row>
    <row r="58" spans="1:18" x14ac:dyDescent="0.45">
      <c r="A58" s="3">
        <v>23374</v>
      </c>
      <c r="B58" s="103">
        <f>A58/((1+$F$16)^($F$12-30))</f>
        <v>22975.388554430436</v>
      </c>
      <c r="C58" s="19">
        <f t="shared" si="11"/>
        <v>45181</v>
      </c>
      <c r="D58" s="26">
        <f t="shared" si="3"/>
        <v>30</v>
      </c>
      <c r="E58" s="34">
        <f t="shared" si="4"/>
        <v>162219.52698458443</v>
      </c>
      <c r="F58" s="107">
        <f t="shared" si="5"/>
        <v>-23374</v>
      </c>
      <c r="G58" s="47">
        <f t="shared" si="6"/>
        <v>398.61144556956424</v>
      </c>
      <c r="H58" s="60">
        <f t="shared" si="7"/>
        <v>139244.13843015401</v>
      </c>
      <c r="J58" s="74">
        <f t="shared" si="0"/>
        <v>30</v>
      </c>
      <c r="K58" s="48">
        <f t="shared" si="8"/>
        <v>154369.70649391194</v>
      </c>
      <c r="L58" s="43">
        <f t="shared" si="12"/>
        <v>-22052.815213416092</v>
      </c>
      <c r="M58" s="75">
        <f t="shared" si="2"/>
        <v>132316.89128049585</v>
      </c>
      <c r="N58" s="32"/>
      <c r="O58" s="76">
        <f t="shared" si="13"/>
        <v>-693966</v>
      </c>
      <c r="P58" s="39">
        <f t="shared" si="13"/>
        <v>39308.790747174738</v>
      </c>
      <c r="Q58" s="88">
        <f t="shared" si="10"/>
        <v>661584.45640248328</v>
      </c>
      <c r="R58" s="32"/>
    </row>
    <row r="59" spans="1:18" x14ac:dyDescent="0.45">
      <c r="A59" s="3">
        <v>23374</v>
      </c>
      <c r="B59" s="103">
        <f>A59/((1+$F$16)^($F$12-31))</f>
        <v>23041.348568001642</v>
      </c>
      <c r="C59" s="19">
        <f t="shared" si="11"/>
        <v>45211</v>
      </c>
      <c r="D59" s="26">
        <f t="shared" si="3"/>
        <v>31</v>
      </c>
      <c r="E59" s="34">
        <f t="shared" si="4"/>
        <v>139244.13843015401</v>
      </c>
      <c r="F59" s="107">
        <f t="shared" si="5"/>
        <v>-23374</v>
      </c>
      <c r="G59" s="47">
        <f t="shared" si="6"/>
        <v>332.65143199835802</v>
      </c>
      <c r="H59" s="60">
        <f t="shared" si="7"/>
        <v>116202.78986215236</v>
      </c>
      <c r="J59" s="74">
        <f t="shared" si="0"/>
        <v>31</v>
      </c>
      <c r="K59" s="48">
        <f t="shared" si="8"/>
        <v>132316.89128049585</v>
      </c>
      <c r="L59" s="43">
        <f t="shared" si="12"/>
        <v>-22052.815213416092</v>
      </c>
      <c r="M59" s="75">
        <f t="shared" si="2"/>
        <v>110264.07606707976</v>
      </c>
      <c r="N59" s="32"/>
      <c r="O59" s="76">
        <f t="shared" si="13"/>
        <v>-717340</v>
      </c>
      <c r="P59" s="39">
        <f t="shared" si="13"/>
        <v>39641.4421791731</v>
      </c>
      <c r="Q59" s="88">
        <f t="shared" si="10"/>
        <v>683637.2716158994</v>
      </c>
      <c r="R59" s="32"/>
    </row>
    <row r="60" spans="1:18" x14ac:dyDescent="0.45">
      <c r="A60" s="3">
        <v>23374</v>
      </c>
      <c r="B60" s="103">
        <f>A60/((1+$F$16)^($F$12-32))</f>
        <v>23107.497946091316</v>
      </c>
      <c r="C60" s="19">
        <f t="shared" si="11"/>
        <v>45242</v>
      </c>
      <c r="D60" s="26">
        <f t="shared" si="3"/>
        <v>32</v>
      </c>
      <c r="E60" s="34">
        <f t="shared" si="4"/>
        <v>116202.78986215236</v>
      </c>
      <c r="F60" s="107">
        <f t="shared" si="5"/>
        <v>-23374</v>
      </c>
      <c r="G60" s="47">
        <f t="shared" si="6"/>
        <v>266.50205390868359</v>
      </c>
      <c r="H60" s="60">
        <f t="shared" si="7"/>
        <v>93095.291916061047</v>
      </c>
      <c r="J60" s="74">
        <f t="shared" si="0"/>
        <v>32</v>
      </c>
      <c r="K60" s="48">
        <f t="shared" si="8"/>
        <v>110264.07606707976</v>
      </c>
      <c r="L60" s="43">
        <f t="shared" si="12"/>
        <v>-22052.815213416092</v>
      </c>
      <c r="M60" s="75">
        <f t="shared" si="2"/>
        <v>88211.260853663669</v>
      </c>
      <c r="N60" s="32"/>
      <c r="O60" s="76">
        <f t="shared" si="13"/>
        <v>-740714</v>
      </c>
      <c r="P60" s="39">
        <f t="shared" si="13"/>
        <v>39907.944233081784</v>
      </c>
      <c r="Q60" s="88">
        <f t="shared" si="10"/>
        <v>705690.08682931552</v>
      </c>
      <c r="R60" s="32"/>
    </row>
    <row r="61" spans="1:18" x14ac:dyDescent="0.45">
      <c r="A61" s="3">
        <v>23374</v>
      </c>
      <c r="B61" s="103">
        <f>A61/((1+$F$16)^($F$12-33))</f>
        <v>23173.837232345813</v>
      </c>
      <c r="C61" s="19">
        <f t="shared" si="11"/>
        <v>45272</v>
      </c>
      <c r="D61" s="26">
        <f t="shared" si="3"/>
        <v>33</v>
      </c>
      <c r="E61" s="34">
        <f t="shared" si="4"/>
        <v>93095.291916061047</v>
      </c>
      <c r="F61" s="107">
        <f t="shared" si="5"/>
        <v>-23374</v>
      </c>
      <c r="G61" s="47">
        <f t="shared" si="6"/>
        <v>200.16276765418661</v>
      </c>
      <c r="H61" s="60">
        <f t="shared" si="7"/>
        <v>69921.45468371523</v>
      </c>
      <c r="J61" s="74">
        <f t="shared" si="0"/>
        <v>33</v>
      </c>
      <c r="K61" s="48">
        <f t="shared" si="8"/>
        <v>88211.260853663669</v>
      </c>
      <c r="L61" s="43">
        <f t="shared" si="12"/>
        <v>-22052.815213416092</v>
      </c>
      <c r="M61" s="75">
        <f t="shared" si="2"/>
        <v>66158.445640247577</v>
      </c>
      <c r="N61" s="32"/>
      <c r="O61" s="76">
        <f t="shared" si="13"/>
        <v>-764088</v>
      </c>
      <c r="P61" s="39">
        <f t="shared" si="13"/>
        <v>40108.107000735967</v>
      </c>
      <c r="Q61" s="88">
        <f t="shared" si="10"/>
        <v>727742.90204273164</v>
      </c>
      <c r="R61" s="32"/>
    </row>
    <row r="62" spans="1:18" x14ac:dyDescent="0.45">
      <c r="A62" s="3">
        <v>23374</v>
      </c>
      <c r="B62" s="103">
        <f>A62/((1+$F$16)^($F$12-34))</f>
        <v>23240.366971972246</v>
      </c>
      <c r="C62" s="19">
        <f t="shared" si="11"/>
        <v>45303</v>
      </c>
      <c r="D62" s="26">
        <f t="shared" si="3"/>
        <v>34</v>
      </c>
      <c r="E62" s="34">
        <f t="shared" si="4"/>
        <v>69921.45468371523</v>
      </c>
      <c r="F62" s="107">
        <f t="shared" si="5"/>
        <v>-23374</v>
      </c>
      <c r="G62" s="47">
        <f t="shared" si="6"/>
        <v>133.63302802775434</v>
      </c>
      <c r="H62" s="60">
        <f t="shared" si="7"/>
        <v>46681.087711742985</v>
      </c>
      <c r="J62" s="74">
        <f t="shared" si="0"/>
        <v>34</v>
      </c>
      <c r="K62" s="48">
        <f t="shared" si="8"/>
        <v>66158.445640247577</v>
      </c>
      <c r="L62" s="43">
        <f t="shared" si="12"/>
        <v>-22052.815213416092</v>
      </c>
      <c r="M62" s="75">
        <f t="shared" si="2"/>
        <v>44105.630426831485</v>
      </c>
      <c r="N62" s="32"/>
      <c r="O62" s="76">
        <f t="shared" ref="O62:P64" si="14">+O61+F62</f>
        <v>-787462</v>
      </c>
      <c r="P62" s="39">
        <f t="shared" si="14"/>
        <v>40241.740028763721</v>
      </c>
      <c r="Q62" s="88">
        <f t="shared" si="10"/>
        <v>749795.71725614776</v>
      </c>
      <c r="R62" s="32"/>
    </row>
    <row r="63" spans="1:18" x14ac:dyDescent="0.45">
      <c r="A63" s="3">
        <v>23374</v>
      </c>
      <c r="B63" s="103">
        <f>A63/((1+$F$16)^($F$12-35))</f>
        <v>23307.087711742952</v>
      </c>
      <c r="C63" s="19">
        <f t="shared" si="11"/>
        <v>45334</v>
      </c>
      <c r="D63" s="26">
        <f t="shared" si="3"/>
        <v>35</v>
      </c>
      <c r="E63" s="34">
        <f t="shared" si="4"/>
        <v>46681.087711742985</v>
      </c>
      <c r="F63" s="107">
        <f t="shared" si="5"/>
        <v>-23374</v>
      </c>
      <c r="G63" s="47">
        <f t="shared" si="6"/>
        <v>66.912288257048203</v>
      </c>
      <c r="H63" s="60">
        <f t="shared" si="7"/>
        <v>23374.000000000033</v>
      </c>
      <c r="J63" s="74">
        <f t="shared" si="0"/>
        <v>35</v>
      </c>
      <c r="K63" s="48">
        <f t="shared" si="8"/>
        <v>44105.630426831485</v>
      </c>
      <c r="L63" s="43">
        <f t="shared" si="12"/>
        <v>-22052.815213416092</v>
      </c>
      <c r="M63" s="75">
        <f t="shared" si="2"/>
        <v>22052.815213415393</v>
      </c>
      <c r="N63" s="32"/>
      <c r="O63" s="76">
        <f t="shared" si="14"/>
        <v>-810836</v>
      </c>
      <c r="P63" s="39">
        <f t="shared" si="14"/>
        <v>40308.652317020766</v>
      </c>
      <c r="Q63" s="88">
        <f t="shared" si="10"/>
        <v>771848.53246956388</v>
      </c>
      <c r="R63" s="32"/>
    </row>
    <row r="64" spans="1:18" x14ac:dyDescent="0.45">
      <c r="A64" s="3">
        <v>23374</v>
      </c>
      <c r="B64" s="103">
        <f>A64/((1+$F$16)^($F$12-36))</f>
        <v>23374</v>
      </c>
      <c r="C64" s="19">
        <f t="shared" si="11"/>
        <v>45363</v>
      </c>
      <c r="D64" s="26">
        <f t="shared" si="3"/>
        <v>36</v>
      </c>
      <c r="E64" s="34">
        <f t="shared" si="4"/>
        <v>23374.000000000033</v>
      </c>
      <c r="F64" s="107">
        <f t="shared" si="5"/>
        <v>-23374</v>
      </c>
      <c r="G64" s="47">
        <f t="shared" si="6"/>
        <v>0</v>
      </c>
      <c r="H64" s="60">
        <f t="shared" si="7"/>
        <v>3.2741809263825417E-11</v>
      </c>
      <c r="J64" s="74">
        <f t="shared" si="0"/>
        <v>36</v>
      </c>
      <c r="K64" s="48">
        <f t="shared" si="8"/>
        <v>22052.815213415393</v>
      </c>
      <c r="L64" s="43">
        <f t="shared" si="12"/>
        <v>-22052.815213416092</v>
      </c>
      <c r="M64" s="75">
        <f t="shared" si="2"/>
        <v>-6.9849193096160889E-10</v>
      </c>
      <c r="N64" s="32"/>
      <c r="O64" s="76">
        <f t="shared" si="14"/>
        <v>-834210</v>
      </c>
      <c r="P64" s="39">
        <f t="shared" si="14"/>
        <v>40308.652317020766</v>
      </c>
      <c r="Q64" s="88">
        <f t="shared" si="10"/>
        <v>793901.34768298001</v>
      </c>
      <c r="R64" s="32"/>
    </row>
    <row r="65" spans="2:18" x14ac:dyDescent="0.45">
      <c r="B65" s="7"/>
      <c r="C65" s="19">
        <f t="shared" si="11"/>
        <v>45394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45424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45455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45485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45516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45547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45577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45608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45638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45669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45700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45728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45759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45789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45820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45850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45881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45912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45942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45973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46003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46034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46065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46093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46124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46154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46185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46215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46246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46277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5">DATE(YEAR(C94),MONTH(C94)+1,DAY(C94))</f>
        <v>46307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5"/>
        <v>46338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5"/>
        <v>46368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5"/>
        <v>46399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5"/>
        <v>46430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5"/>
        <v>46458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5"/>
        <v>46489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5"/>
        <v>46519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5"/>
        <v>46550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5"/>
        <v>46580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5"/>
        <v>46611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5"/>
        <v>46642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5"/>
        <v>46672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-834210</v>
      </c>
      <c r="G110" s="43">
        <f>SUM(G29:G107)</f>
        <v>40308.652317020766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793901.34768297931</v>
      </c>
      <c r="G116" s="119">
        <f>INDEX(M:M,MATCH(DATE(2021,12,DAY(D10)),C:C))</f>
        <v>595426.01076223422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-189163.96345756564</v>
      </c>
      <c r="G119" s="113">
        <f ca="1">IFERROR(SUM(INDIRECT("F"&amp;MATCH(DATE(2022,1,DAY(D10)),C:C)):INDIRECT("G"&amp;MATCH(DATE(2022,1,DAY(D10)),C:C)+11)),VALUE("0"))</f>
        <v>-261649.15132179059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-604737.38422541367</v>
      </c>
      <c r="G123" s="113">
        <f ca="1">IFERROR(SUM(INDIRECT("F"&amp;MATCH(DATE(2023,1,DAY(D10)),C:C)):G107),VALUE("0"))</f>
        <v>-343088.23290362308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-277465.5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-350005.5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4E16B-330E-4B55-A536-A4473B0471E2}">
  <dimension ref="A1:R130"/>
  <sheetViews>
    <sheetView topLeftCell="A106" zoomScale="85" zoomScaleNormal="85" workbookViewId="0">
      <selection activeCell="F116" sqref="F116"/>
    </sheetView>
  </sheetViews>
  <sheetFormatPr defaultRowHeight="14.25" x14ac:dyDescent="0.45"/>
  <cols>
    <col min="1" max="1" width="13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125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44309</v>
      </c>
      <c r="E10" s="12">
        <f>VLOOKUP($C$2,'Lease Summary'!D:H,4,FALSE)</f>
        <v>45404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28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291664.18108283321</v>
      </c>
      <c r="J22" s="17" t="s">
        <v>234</v>
      </c>
      <c r="K22" s="22"/>
      <c r="L22" s="7"/>
      <c r="M22" s="65">
        <f>H22</f>
        <v>291664.18108283321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291664.18108283321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f>78.6*104</f>
        <v>8174.4</v>
      </c>
      <c r="B29" s="103">
        <f>A29/((1+$F$16)^($F$12-1))</f>
        <v>7394.0071314257666</v>
      </c>
      <c r="C29" s="19">
        <f>D10</f>
        <v>44309</v>
      </c>
      <c r="D29" s="27">
        <v>1</v>
      </c>
      <c r="E29" s="33">
        <f>A28</f>
        <v>291664.18108283321</v>
      </c>
      <c r="F29" s="106">
        <f>-A29</f>
        <v>-8174.4</v>
      </c>
      <c r="G29" s="46">
        <f>A29-B29</f>
        <v>780.39286857423303</v>
      </c>
      <c r="H29" s="59">
        <f>SUM(E29:G29)</f>
        <v>284270.17395140743</v>
      </c>
      <c r="J29" s="69">
        <f t="shared" ref="J29:J64" si="0">D29</f>
        <v>1</v>
      </c>
      <c r="K29" s="70">
        <f>M22</f>
        <v>291664.18108283321</v>
      </c>
      <c r="L29" s="42">
        <f t="shared" ref="L29:L40" si="1">-$M$22/$F$12</f>
        <v>-8101.782807856478</v>
      </c>
      <c r="M29" s="71">
        <f t="shared" ref="M29:M64" si="2">K29+L29</f>
        <v>283562.39827497676</v>
      </c>
      <c r="N29" s="32"/>
      <c r="O29" s="72">
        <f>+F29</f>
        <v>-8174.4</v>
      </c>
      <c r="P29" s="73">
        <f>+G29</f>
        <v>780.39286857423303</v>
      </c>
      <c r="Q29" s="71">
        <f>-L29</f>
        <v>8101.782807856478</v>
      </c>
      <c r="R29" s="85"/>
    </row>
    <row r="30" spans="1:18" x14ac:dyDescent="0.45">
      <c r="A30" s="3">
        <f t="shared" ref="A30:A40" si="3">78.6*104</f>
        <v>8174.4</v>
      </c>
      <c r="B30" s="103">
        <f>A30/((1+$F$16)^($F$12-2))</f>
        <v>7415.2345770282218</v>
      </c>
      <c r="C30" s="19">
        <f>DATE(YEAR(C29),MONTH(C29)+1,DAY(C29))</f>
        <v>44339</v>
      </c>
      <c r="D30" s="26">
        <f t="shared" ref="D30:D64" si="4">D29+1</f>
        <v>2</v>
      </c>
      <c r="E30" s="34">
        <f t="shared" ref="E30:E64" si="5">H29</f>
        <v>284270.17395140743</v>
      </c>
      <c r="F30" s="107">
        <f t="shared" ref="F30:F64" si="6">-A30</f>
        <v>-8174.4</v>
      </c>
      <c r="G30" s="47">
        <f t="shared" ref="G30:G64" si="7">A30-B30</f>
        <v>759.16542297177784</v>
      </c>
      <c r="H30" s="60">
        <f t="shared" ref="H30:H64" si="8">SUM(E30:G30)</f>
        <v>276854.93937437917</v>
      </c>
      <c r="J30" s="74">
        <f t="shared" si="0"/>
        <v>2</v>
      </c>
      <c r="K30" s="48">
        <f t="shared" ref="K30:K64" si="9">M29</f>
        <v>283562.39827497676</v>
      </c>
      <c r="L30" s="43">
        <f t="shared" si="1"/>
        <v>-8101.782807856478</v>
      </c>
      <c r="M30" s="75">
        <f t="shared" si="2"/>
        <v>275460.61546712031</v>
      </c>
      <c r="N30" s="32"/>
      <c r="O30" s="76">
        <f t="shared" ref="O30:P45" si="10">+O29+F30</f>
        <v>-16348.8</v>
      </c>
      <c r="P30" s="77">
        <f t="shared" si="10"/>
        <v>1539.5582915460109</v>
      </c>
      <c r="Q30" s="75">
        <f t="shared" ref="Q30:Q64" si="11">+Q29-L30</f>
        <v>16203.565615712956</v>
      </c>
      <c r="R30" s="86"/>
    </row>
    <row r="31" spans="1:18" x14ac:dyDescent="0.45">
      <c r="A31" s="3">
        <f t="shared" si="3"/>
        <v>8174.4</v>
      </c>
      <c r="B31" s="103">
        <f>A31/((1+$F$16)^($F$12-3))</f>
        <v>7436.5229644770643</v>
      </c>
      <c r="C31" s="19">
        <f t="shared" ref="C31:C94" si="12">DATE(YEAR(C30),MONTH(C30)+1,DAY(C30))</f>
        <v>44370</v>
      </c>
      <c r="D31" s="26">
        <f t="shared" si="4"/>
        <v>3</v>
      </c>
      <c r="E31" s="34">
        <f t="shared" si="5"/>
        <v>276854.93937437917</v>
      </c>
      <c r="F31" s="107">
        <f t="shared" si="6"/>
        <v>-8174.4</v>
      </c>
      <c r="G31" s="47">
        <f t="shared" si="7"/>
        <v>737.87703552293533</v>
      </c>
      <c r="H31" s="60">
        <f t="shared" si="8"/>
        <v>269418.4164099021</v>
      </c>
      <c r="J31" s="74">
        <f t="shared" si="0"/>
        <v>3</v>
      </c>
      <c r="K31" s="48">
        <f t="shared" si="9"/>
        <v>275460.61546712031</v>
      </c>
      <c r="L31" s="43">
        <f t="shared" si="1"/>
        <v>-8101.782807856478</v>
      </c>
      <c r="M31" s="75">
        <f t="shared" si="2"/>
        <v>267358.83265926386</v>
      </c>
      <c r="N31" s="32"/>
      <c r="O31" s="76">
        <f t="shared" si="10"/>
        <v>-24523.199999999997</v>
      </c>
      <c r="P31" s="39">
        <f t="shared" si="10"/>
        <v>2277.4353270689462</v>
      </c>
      <c r="Q31" s="88">
        <f t="shared" si="11"/>
        <v>24305.348423569434</v>
      </c>
      <c r="R31" s="86"/>
    </row>
    <row r="32" spans="1:18" x14ac:dyDescent="0.45">
      <c r="A32" s="3">
        <f t="shared" si="3"/>
        <v>8174.4</v>
      </c>
      <c r="B32" s="103">
        <f>A32/((1+$F$16)^($F$12-4))</f>
        <v>7457.8724687301647</v>
      </c>
      <c r="C32" s="19">
        <f t="shared" si="12"/>
        <v>44400</v>
      </c>
      <c r="D32" s="26">
        <f t="shared" si="4"/>
        <v>4</v>
      </c>
      <c r="E32" s="34">
        <f t="shared" si="5"/>
        <v>269418.4164099021</v>
      </c>
      <c r="F32" s="107">
        <f t="shared" si="6"/>
        <v>-8174.4</v>
      </c>
      <c r="G32" s="47">
        <f t="shared" si="7"/>
        <v>716.52753126983498</v>
      </c>
      <c r="H32" s="60">
        <f t="shared" si="8"/>
        <v>261960.54394117193</v>
      </c>
      <c r="J32" s="74">
        <f t="shared" si="0"/>
        <v>4</v>
      </c>
      <c r="K32" s="48">
        <f t="shared" si="9"/>
        <v>267358.83265926386</v>
      </c>
      <c r="L32" s="43">
        <f t="shared" si="1"/>
        <v>-8101.782807856478</v>
      </c>
      <c r="M32" s="75">
        <f t="shared" si="2"/>
        <v>259257.04985140738</v>
      </c>
      <c r="N32" s="32"/>
      <c r="O32" s="76">
        <f t="shared" si="10"/>
        <v>-32697.599999999999</v>
      </c>
      <c r="P32" s="39">
        <f t="shared" si="10"/>
        <v>2993.9628583387812</v>
      </c>
      <c r="Q32" s="88">
        <f t="shared" si="11"/>
        <v>32407.131231425912</v>
      </c>
      <c r="R32" s="86"/>
    </row>
    <row r="33" spans="1:18" x14ac:dyDescent="0.45">
      <c r="A33" s="3">
        <f t="shared" si="3"/>
        <v>8174.4</v>
      </c>
      <c r="B33" s="103">
        <f>A33/((1+$F$16)^($F$12-5))</f>
        <v>7479.2832652476782</v>
      </c>
      <c r="C33" s="19">
        <f t="shared" si="12"/>
        <v>44431</v>
      </c>
      <c r="D33" s="26">
        <f t="shared" si="4"/>
        <v>5</v>
      </c>
      <c r="E33" s="34">
        <f t="shared" si="5"/>
        <v>261960.54394117193</v>
      </c>
      <c r="F33" s="107">
        <f t="shared" si="6"/>
        <v>-8174.4</v>
      </c>
      <c r="G33" s="47">
        <f t="shared" si="7"/>
        <v>695.11673475232146</v>
      </c>
      <c r="H33" s="60">
        <f t="shared" si="8"/>
        <v>254481.26067592425</v>
      </c>
      <c r="J33" s="74">
        <f t="shared" si="0"/>
        <v>5</v>
      </c>
      <c r="K33" s="48">
        <f t="shared" si="9"/>
        <v>259257.04985140738</v>
      </c>
      <c r="L33" s="43">
        <f t="shared" si="1"/>
        <v>-8101.782807856478</v>
      </c>
      <c r="M33" s="75">
        <f t="shared" si="2"/>
        <v>251155.26704355091</v>
      </c>
      <c r="N33" s="32"/>
      <c r="O33" s="76">
        <f t="shared" si="10"/>
        <v>-40872</v>
      </c>
      <c r="P33" s="39">
        <f t="shared" si="10"/>
        <v>3689.0795930911027</v>
      </c>
      <c r="Q33" s="88">
        <f t="shared" si="11"/>
        <v>40508.91403928239</v>
      </c>
      <c r="R33" s="86"/>
    </row>
    <row r="34" spans="1:18" x14ac:dyDescent="0.45">
      <c r="A34" s="3">
        <f t="shared" si="3"/>
        <v>8174.4</v>
      </c>
      <c r="B34" s="103">
        <f>A34/((1+$F$16)^($F$12-6))</f>
        <v>7500.7555299934893</v>
      </c>
      <c r="C34" s="19">
        <f t="shared" si="12"/>
        <v>44462</v>
      </c>
      <c r="D34" s="26">
        <f t="shared" si="4"/>
        <v>6</v>
      </c>
      <c r="E34" s="34">
        <f t="shared" si="5"/>
        <v>254481.26067592425</v>
      </c>
      <c r="F34" s="107">
        <f t="shared" si="6"/>
        <v>-8174.4</v>
      </c>
      <c r="G34" s="47">
        <f t="shared" si="7"/>
        <v>673.64447000651035</v>
      </c>
      <c r="H34" s="60">
        <f t="shared" si="8"/>
        <v>246980.50514593077</v>
      </c>
      <c r="J34" s="74">
        <f t="shared" si="0"/>
        <v>6</v>
      </c>
      <c r="K34" s="48">
        <f t="shared" si="9"/>
        <v>251155.26704355091</v>
      </c>
      <c r="L34" s="43">
        <f t="shared" si="1"/>
        <v>-8101.782807856478</v>
      </c>
      <c r="M34" s="75">
        <f t="shared" si="2"/>
        <v>243053.48423569443</v>
      </c>
      <c r="N34" s="32"/>
      <c r="O34" s="76">
        <f t="shared" si="10"/>
        <v>-49046.400000000001</v>
      </c>
      <c r="P34" s="39">
        <f t="shared" si="10"/>
        <v>4362.724063097613</v>
      </c>
      <c r="Q34" s="88">
        <f t="shared" si="11"/>
        <v>48610.696847138868</v>
      </c>
      <c r="R34" s="86"/>
    </row>
    <row r="35" spans="1:18" x14ac:dyDescent="0.45">
      <c r="A35" s="3">
        <f t="shared" si="3"/>
        <v>8174.4</v>
      </c>
      <c r="B35" s="103">
        <f>A35/((1+$F$16)^($F$12-7))</f>
        <v>7522.2894394366558</v>
      </c>
      <c r="C35" s="19">
        <f t="shared" si="12"/>
        <v>44492</v>
      </c>
      <c r="D35" s="26">
        <f t="shared" si="4"/>
        <v>7</v>
      </c>
      <c r="E35" s="34">
        <f t="shared" si="5"/>
        <v>246980.50514593077</v>
      </c>
      <c r="F35" s="107">
        <f t="shared" si="6"/>
        <v>-8174.4</v>
      </c>
      <c r="G35" s="47">
        <f t="shared" si="7"/>
        <v>652.11056056334382</v>
      </c>
      <c r="H35" s="60">
        <f t="shared" si="8"/>
        <v>239458.21570649411</v>
      </c>
      <c r="J35" s="74">
        <f t="shared" si="0"/>
        <v>7</v>
      </c>
      <c r="K35" s="48">
        <f t="shared" si="9"/>
        <v>243053.48423569443</v>
      </c>
      <c r="L35" s="43">
        <f t="shared" si="1"/>
        <v>-8101.782807856478</v>
      </c>
      <c r="M35" s="75">
        <f t="shared" si="2"/>
        <v>234951.70142783795</v>
      </c>
      <c r="N35" s="32"/>
      <c r="O35" s="76">
        <f t="shared" si="10"/>
        <v>-57220.800000000003</v>
      </c>
      <c r="P35" s="39">
        <f t="shared" si="10"/>
        <v>5014.8346236609568</v>
      </c>
      <c r="Q35" s="88">
        <f t="shared" si="11"/>
        <v>56712.479654995346</v>
      </c>
      <c r="R35" s="86"/>
    </row>
    <row r="36" spans="1:18" x14ac:dyDescent="0.45">
      <c r="A36" s="3">
        <f t="shared" si="3"/>
        <v>8174.4</v>
      </c>
      <c r="B36" s="103">
        <f>A36/((1+$F$16)^($F$12-8))</f>
        <v>7543.8851705528559</v>
      </c>
      <c r="C36" s="19">
        <f t="shared" si="12"/>
        <v>44523</v>
      </c>
      <c r="D36" s="26">
        <f t="shared" si="4"/>
        <v>8</v>
      </c>
      <c r="E36" s="34">
        <f t="shared" si="5"/>
        <v>239458.21570649411</v>
      </c>
      <c r="F36" s="107">
        <f t="shared" si="6"/>
        <v>-8174.4</v>
      </c>
      <c r="G36" s="47">
        <f t="shared" si="7"/>
        <v>630.51482944714371</v>
      </c>
      <c r="H36" s="60">
        <f t="shared" si="8"/>
        <v>231914.33053594126</v>
      </c>
      <c r="J36" s="74">
        <f t="shared" si="0"/>
        <v>8</v>
      </c>
      <c r="K36" s="48">
        <f t="shared" si="9"/>
        <v>234951.70142783795</v>
      </c>
      <c r="L36" s="43">
        <f t="shared" si="1"/>
        <v>-8101.782807856478</v>
      </c>
      <c r="M36" s="75">
        <f t="shared" si="2"/>
        <v>226849.91861998147</v>
      </c>
      <c r="N36" s="32"/>
      <c r="O36" s="76">
        <f t="shared" si="10"/>
        <v>-65395.200000000004</v>
      </c>
      <c r="P36" s="39">
        <f t="shared" si="10"/>
        <v>5645.3494531081005</v>
      </c>
      <c r="Q36" s="88">
        <f t="shared" si="11"/>
        <v>64814.262462851824</v>
      </c>
      <c r="R36" s="86"/>
    </row>
    <row r="37" spans="1:18" x14ac:dyDescent="0.45">
      <c r="A37" s="3">
        <f t="shared" si="3"/>
        <v>8174.4</v>
      </c>
      <c r="B37" s="103">
        <f>A37/((1+$F$16)^($F$12-9))</f>
        <v>7565.5429008258589</v>
      </c>
      <c r="C37" s="19">
        <f t="shared" si="12"/>
        <v>44553</v>
      </c>
      <c r="D37" s="26">
        <f t="shared" si="4"/>
        <v>9</v>
      </c>
      <c r="E37" s="34">
        <f t="shared" si="5"/>
        <v>231914.33053594126</v>
      </c>
      <c r="F37" s="107">
        <f t="shared" si="6"/>
        <v>-8174.4</v>
      </c>
      <c r="G37" s="47">
        <f t="shared" si="7"/>
        <v>608.85709917414079</v>
      </c>
      <c r="H37" s="60">
        <f t="shared" si="8"/>
        <v>224348.78763511541</v>
      </c>
      <c r="J37" s="74">
        <f t="shared" si="0"/>
        <v>9</v>
      </c>
      <c r="K37" s="48">
        <f t="shared" si="9"/>
        <v>226849.91861998147</v>
      </c>
      <c r="L37" s="43">
        <f t="shared" si="1"/>
        <v>-8101.782807856478</v>
      </c>
      <c r="M37" s="75">
        <f t="shared" si="2"/>
        <v>218748.13581212499</v>
      </c>
      <c r="N37" s="32"/>
      <c r="O37" s="76">
        <f t="shared" si="10"/>
        <v>-73569.600000000006</v>
      </c>
      <c r="P37" s="39">
        <f t="shared" si="10"/>
        <v>6254.2065522822413</v>
      </c>
      <c r="Q37" s="88">
        <f t="shared" si="11"/>
        <v>72916.045270708302</v>
      </c>
      <c r="R37" s="86"/>
    </row>
    <row r="38" spans="1:18" x14ac:dyDescent="0.45">
      <c r="A38" s="3">
        <f t="shared" si="3"/>
        <v>8174.4</v>
      </c>
      <c r="B38" s="103">
        <f>A38/((1+$F$16)^($F$12-10))</f>
        <v>7587.2628082489591</v>
      </c>
      <c r="C38" s="19">
        <f t="shared" si="12"/>
        <v>44584</v>
      </c>
      <c r="D38" s="26">
        <f t="shared" si="4"/>
        <v>10</v>
      </c>
      <c r="E38" s="34">
        <f t="shared" si="5"/>
        <v>224348.78763511541</v>
      </c>
      <c r="F38" s="107">
        <f t="shared" si="6"/>
        <v>-8174.4</v>
      </c>
      <c r="G38" s="47">
        <f t="shared" si="7"/>
        <v>587.13719175104052</v>
      </c>
      <c r="H38" s="60">
        <f t="shared" si="8"/>
        <v>216761.52482686646</v>
      </c>
      <c r="J38" s="74">
        <f t="shared" si="0"/>
        <v>10</v>
      </c>
      <c r="K38" s="48">
        <f t="shared" si="9"/>
        <v>218748.13581212499</v>
      </c>
      <c r="L38" s="43">
        <f t="shared" si="1"/>
        <v>-8101.782807856478</v>
      </c>
      <c r="M38" s="75">
        <f t="shared" si="2"/>
        <v>210646.35300426852</v>
      </c>
      <c r="N38" s="32"/>
      <c r="O38" s="76">
        <f t="shared" si="10"/>
        <v>-81744</v>
      </c>
      <c r="P38" s="39">
        <f t="shared" si="10"/>
        <v>6841.3437440332818</v>
      </c>
      <c r="Q38" s="88">
        <f t="shared" si="11"/>
        <v>81017.82807856478</v>
      </c>
      <c r="R38" s="87"/>
    </row>
    <row r="39" spans="1:18" x14ac:dyDescent="0.45">
      <c r="A39" s="3">
        <f t="shared" si="3"/>
        <v>8174.4</v>
      </c>
      <c r="B39" s="103">
        <f>A39/((1+$F$16)^($F$12-11))</f>
        <v>7609.0450713264581</v>
      </c>
      <c r="C39" s="19">
        <f t="shared" si="12"/>
        <v>44615</v>
      </c>
      <c r="D39" s="26">
        <f t="shared" si="4"/>
        <v>11</v>
      </c>
      <c r="E39" s="34">
        <f t="shared" si="5"/>
        <v>216761.52482686646</v>
      </c>
      <c r="F39" s="107">
        <f t="shared" si="6"/>
        <v>-8174.4</v>
      </c>
      <c r="G39" s="47">
        <f t="shared" si="7"/>
        <v>565.35492867354151</v>
      </c>
      <c r="H39" s="60">
        <f t="shared" si="8"/>
        <v>209152.47975554</v>
      </c>
      <c r="J39" s="74">
        <f t="shared" si="0"/>
        <v>11</v>
      </c>
      <c r="K39" s="48">
        <f t="shared" si="9"/>
        <v>210646.35300426852</v>
      </c>
      <c r="L39" s="43">
        <f t="shared" si="1"/>
        <v>-8101.782807856478</v>
      </c>
      <c r="M39" s="75">
        <f t="shared" si="2"/>
        <v>202544.57019641204</v>
      </c>
      <c r="N39" s="32"/>
      <c r="O39" s="76">
        <f t="shared" si="10"/>
        <v>-89918.399999999994</v>
      </c>
      <c r="P39" s="39">
        <f t="shared" si="10"/>
        <v>7406.6986727068233</v>
      </c>
      <c r="Q39" s="88">
        <f t="shared" si="11"/>
        <v>89119.610886421258</v>
      </c>
      <c r="R39" s="87"/>
    </row>
    <row r="40" spans="1:18" x14ac:dyDescent="0.45">
      <c r="A40" s="3">
        <f t="shared" si="3"/>
        <v>8174.4</v>
      </c>
      <c r="B40" s="103">
        <f>A40/((1+$F$16)^($F$12-12))</f>
        <v>7630.8898690751266</v>
      </c>
      <c r="C40" s="19">
        <f t="shared" si="12"/>
        <v>44643</v>
      </c>
      <c r="D40" s="26">
        <f t="shared" si="4"/>
        <v>12</v>
      </c>
      <c r="E40" s="34">
        <f t="shared" si="5"/>
        <v>209152.47975554</v>
      </c>
      <c r="F40" s="107">
        <f t="shared" si="6"/>
        <v>-8174.4</v>
      </c>
      <c r="G40" s="47">
        <f t="shared" si="7"/>
        <v>543.51013092487301</v>
      </c>
      <c r="H40" s="60">
        <f t="shared" si="8"/>
        <v>201521.58988646488</v>
      </c>
      <c r="J40" s="74">
        <f t="shared" si="0"/>
        <v>12</v>
      </c>
      <c r="K40" s="48">
        <f t="shared" si="9"/>
        <v>202544.57019641204</v>
      </c>
      <c r="L40" s="43">
        <f t="shared" si="1"/>
        <v>-8101.782807856478</v>
      </c>
      <c r="M40" s="75">
        <f t="shared" si="2"/>
        <v>194442.78738855556</v>
      </c>
      <c r="N40" s="32"/>
      <c r="O40" s="76">
        <f t="shared" si="10"/>
        <v>-98092.799999999988</v>
      </c>
      <c r="P40" s="39">
        <f t="shared" si="10"/>
        <v>7950.2088036316964</v>
      </c>
      <c r="Q40" s="88">
        <f t="shared" si="11"/>
        <v>97221.393694277736</v>
      </c>
      <c r="R40" s="87"/>
    </row>
    <row r="41" spans="1:18" x14ac:dyDescent="0.45">
      <c r="A41" s="3">
        <f>81.8*104</f>
        <v>8507.1999999999989</v>
      </c>
      <c r="B41" s="103">
        <f>A41/((1+$F$16)^($F$12-13))</f>
        <v>7964.361650991088</v>
      </c>
      <c r="C41" s="19">
        <f t="shared" si="12"/>
        <v>44674</v>
      </c>
      <c r="D41" s="26">
        <f t="shared" si="4"/>
        <v>13</v>
      </c>
      <c r="E41" s="34">
        <f t="shared" si="5"/>
        <v>201521.58988646488</v>
      </c>
      <c r="F41" s="107">
        <f t="shared" si="6"/>
        <v>-8507.1999999999989</v>
      </c>
      <c r="G41" s="47">
        <f t="shared" si="7"/>
        <v>542.83834900891088</v>
      </c>
      <c r="H41" s="60">
        <f t="shared" si="8"/>
        <v>193557.22823547377</v>
      </c>
      <c r="J41" s="74">
        <f t="shared" si="0"/>
        <v>13</v>
      </c>
      <c r="K41" s="48">
        <f t="shared" si="9"/>
        <v>194442.78738855556</v>
      </c>
      <c r="L41" s="43">
        <f t="shared" ref="L41:L64" si="13">-$M$22/$F$12</f>
        <v>-8101.782807856478</v>
      </c>
      <c r="M41" s="75">
        <f t="shared" si="2"/>
        <v>186341.00458069908</v>
      </c>
      <c r="N41" s="32"/>
      <c r="O41" s="76">
        <f t="shared" si="10"/>
        <v>-106599.99999999999</v>
      </c>
      <c r="P41" s="39">
        <f t="shared" si="10"/>
        <v>8493.0471526406072</v>
      </c>
      <c r="Q41" s="88">
        <f t="shared" si="11"/>
        <v>105323.17650213421</v>
      </c>
      <c r="R41" s="87"/>
    </row>
    <row r="42" spans="1:18" x14ac:dyDescent="0.45">
      <c r="A42" s="3">
        <f t="shared" ref="A42:A52" si="14">81.8*104</f>
        <v>8507.1999999999989</v>
      </c>
      <c r="B42" s="103">
        <f>A42/((1+$F$16)^($F$12-14))</f>
        <v>7987.2265266531822</v>
      </c>
      <c r="C42" s="19">
        <f t="shared" si="12"/>
        <v>44704</v>
      </c>
      <c r="D42" s="26">
        <f t="shared" si="4"/>
        <v>14</v>
      </c>
      <c r="E42" s="34">
        <f t="shared" si="5"/>
        <v>193557.22823547377</v>
      </c>
      <c r="F42" s="107">
        <f t="shared" si="6"/>
        <v>-8507.1999999999989</v>
      </c>
      <c r="G42" s="47">
        <f t="shared" si="7"/>
        <v>519.97347334681672</v>
      </c>
      <c r="H42" s="60">
        <f t="shared" si="8"/>
        <v>185570.00170882058</v>
      </c>
      <c r="J42" s="74">
        <f t="shared" si="0"/>
        <v>14</v>
      </c>
      <c r="K42" s="48">
        <f t="shared" si="9"/>
        <v>186341.00458069908</v>
      </c>
      <c r="L42" s="43">
        <f t="shared" si="13"/>
        <v>-8101.782807856478</v>
      </c>
      <c r="M42" s="75">
        <f t="shared" si="2"/>
        <v>178239.2217728426</v>
      </c>
      <c r="N42" s="32"/>
      <c r="O42" s="76">
        <f t="shared" si="10"/>
        <v>-115107.19999999998</v>
      </c>
      <c r="P42" s="39">
        <f t="shared" si="10"/>
        <v>9013.0206259874249</v>
      </c>
      <c r="Q42" s="88">
        <f t="shared" si="11"/>
        <v>113424.95930999069</v>
      </c>
      <c r="R42" s="87"/>
    </row>
    <row r="43" spans="1:18" x14ac:dyDescent="0.45">
      <c r="A43" s="3">
        <f t="shared" si="14"/>
        <v>8507.1999999999989</v>
      </c>
      <c r="B43" s="103">
        <f>A43/((1+$F$16)^($F$12-15))</f>
        <v>8010.1570450575264</v>
      </c>
      <c r="C43" s="19">
        <f t="shared" si="12"/>
        <v>44735</v>
      </c>
      <c r="D43" s="26">
        <f t="shared" si="4"/>
        <v>15</v>
      </c>
      <c r="E43" s="34">
        <f t="shared" si="5"/>
        <v>185570.00170882058</v>
      </c>
      <c r="F43" s="107">
        <f t="shared" si="6"/>
        <v>-8507.1999999999989</v>
      </c>
      <c r="G43" s="47">
        <f t="shared" si="7"/>
        <v>497.04295494247253</v>
      </c>
      <c r="H43" s="60">
        <f t="shared" si="8"/>
        <v>177559.84466376304</v>
      </c>
      <c r="J43" s="74">
        <f t="shared" si="0"/>
        <v>15</v>
      </c>
      <c r="K43" s="48">
        <f t="shared" si="9"/>
        <v>178239.2217728426</v>
      </c>
      <c r="L43" s="43">
        <f t="shared" si="13"/>
        <v>-8101.782807856478</v>
      </c>
      <c r="M43" s="75">
        <f t="shared" si="2"/>
        <v>170137.43896498613</v>
      </c>
      <c r="N43" s="32"/>
      <c r="O43" s="76">
        <f t="shared" si="10"/>
        <v>-123614.39999999998</v>
      </c>
      <c r="P43" s="39">
        <f t="shared" si="10"/>
        <v>9510.0635809298983</v>
      </c>
      <c r="Q43" s="88">
        <f t="shared" si="11"/>
        <v>121526.74211784717</v>
      </c>
      <c r="R43" s="87"/>
    </row>
    <row r="44" spans="1:18" x14ac:dyDescent="0.45">
      <c r="A44" s="3">
        <f t="shared" si="14"/>
        <v>8507.1999999999989</v>
      </c>
      <c r="B44" s="103">
        <f>A44/((1+$F$16)^($F$12-16))</f>
        <v>8033.1533946577838</v>
      </c>
      <c r="C44" s="19">
        <f t="shared" si="12"/>
        <v>44765</v>
      </c>
      <c r="D44" s="26">
        <f t="shared" si="4"/>
        <v>16</v>
      </c>
      <c r="E44" s="34">
        <f t="shared" si="5"/>
        <v>177559.84466376304</v>
      </c>
      <c r="F44" s="107">
        <f t="shared" si="6"/>
        <v>-8507.1999999999989</v>
      </c>
      <c r="G44" s="47">
        <f t="shared" si="7"/>
        <v>474.04660534221512</v>
      </c>
      <c r="H44" s="60">
        <f t="shared" si="8"/>
        <v>169526.69126910524</v>
      </c>
      <c r="J44" s="74">
        <f t="shared" si="0"/>
        <v>16</v>
      </c>
      <c r="K44" s="48">
        <f t="shared" si="9"/>
        <v>170137.43896498613</v>
      </c>
      <c r="L44" s="43">
        <f t="shared" si="13"/>
        <v>-8101.782807856478</v>
      </c>
      <c r="M44" s="75">
        <f t="shared" si="2"/>
        <v>162035.65615712965</v>
      </c>
      <c r="N44" s="32"/>
      <c r="O44" s="76">
        <f t="shared" si="10"/>
        <v>-132121.59999999998</v>
      </c>
      <c r="P44" s="39">
        <f t="shared" si="10"/>
        <v>9984.1101862721134</v>
      </c>
      <c r="Q44" s="88">
        <f t="shared" si="11"/>
        <v>129628.52492570365</v>
      </c>
      <c r="R44" s="87"/>
    </row>
    <row r="45" spans="1:18" x14ac:dyDescent="0.45">
      <c r="A45" s="3">
        <f t="shared" si="14"/>
        <v>8507.1999999999989</v>
      </c>
      <c r="B45" s="103">
        <f>A45/((1+$F$16)^($F$12-17))</f>
        <v>8056.2157644486524</v>
      </c>
      <c r="C45" s="19">
        <f t="shared" si="12"/>
        <v>44796</v>
      </c>
      <c r="D45" s="26">
        <f t="shared" si="4"/>
        <v>17</v>
      </c>
      <c r="E45" s="34">
        <f t="shared" si="5"/>
        <v>169526.69126910524</v>
      </c>
      <c r="F45" s="107">
        <f t="shared" si="6"/>
        <v>-8507.1999999999989</v>
      </c>
      <c r="G45" s="47">
        <f t="shared" si="7"/>
        <v>450.9842355513465</v>
      </c>
      <c r="H45" s="60">
        <f t="shared" si="8"/>
        <v>161470.47550465658</v>
      </c>
      <c r="J45" s="74">
        <f t="shared" si="0"/>
        <v>17</v>
      </c>
      <c r="K45" s="48">
        <f t="shared" si="9"/>
        <v>162035.65615712965</v>
      </c>
      <c r="L45" s="43">
        <f t="shared" si="13"/>
        <v>-8101.782807856478</v>
      </c>
      <c r="M45" s="75">
        <f t="shared" si="2"/>
        <v>153933.87334927317</v>
      </c>
      <c r="N45" s="32"/>
      <c r="O45" s="76">
        <f t="shared" si="10"/>
        <v>-140628.79999999999</v>
      </c>
      <c r="P45" s="39">
        <f t="shared" si="10"/>
        <v>10435.09442182346</v>
      </c>
      <c r="Q45" s="88">
        <f t="shared" si="11"/>
        <v>137730.30773356013</v>
      </c>
      <c r="R45" s="87"/>
    </row>
    <row r="46" spans="1:18" x14ac:dyDescent="0.45">
      <c r="A46" s="3">
        <f t="shared" si="14"/>
        <v>8507.1999999999989</v>
      </c>
      <c r="B46" s="103">
        <f>A46/((1+$F$16)^($F$12-18))</f>
        <v>8079.3443439674138</v>
      </c>
      <c r="C46" s="19">
        <f t="shared" si="12"/>
        <v>44827</v>
      </c>
      <c r="D46" s="26">
        <f t="shared" si="4"/>
        <v>18</v>
      </c>
      <c r="E46" s="34">
        <f t="shared" si="5"/>
        <v>161470.47550465658</v>
      </c>
      <c r="F46" s="107">
        <f t="shared" si="6"/>
        <v>-8507.1999999999989</v>
      </c>
      <c r="G46" s="47">
        <f t="shared" si="7"/>
        <v>427.8556560325851</v>
      </c>
      <c r="H46" s="60">
        <f t="shared" si="8"/>
        <v>153391.13116068917</v>
      </c>
      <c r="J46" s="74">
        <f t="shared" si="0"/>
        <v>18</v>
      </c>
      <c r="K46" s="48">
        <f t="shared" si="9"/>
        <v>153933.87334927317</v>
      </c>
      <c r="L46" s="43">
        <f t="shared" si="13"/>
        <v>-8101.782807856478</v>
      </c>
      <c r="M46" s="75">
        <f t="shared" si="2"/>
        <v>145832.09054141669</v>
      </c>
      <c r="N46" s="32"/>
      <c r="O46" s="76">
        <f t="shared" ref="O46:P61" si="15">+O45+F46</f>
        <v>-149136</v>
      </c>
      <c r="P46" s="39">
        <f t="shared" si="15"/>
        <v>10862.950077856045</v>
      </c>
      <c r="Q46" s="88">
        <f t="shared" si="11"/>
        <v>145832.0905414166</v>
      </c>
      <c r="R46" s="87"/>
    </row>
    <row r="47" spans="1:18" x14ac:dyDescent="0.45">
      <c r="A47" s="3">
        <f t="shared" si="14"/>
        <v>8507.1999999999989</v>
      </c>
      <c r="B47" s="103">
        <f>A47/((1+$F$16)^($F$12-19))</f>
        <v>8102.5393232954875</v>
      </c>
      <c r="C47" s="19">
        <f t="shared" si="12"/>
        <v>44857</v>
      </c>
      <c r="D47" s="26">
        <f t="shared" si="4"/>
        <v>19</v>
      </c>
      <c r="E47" s="34">
        <f t="shared" si="5"/>
        <v>153391.13116068917</v>
      </c>
      <c r="F47" s="107">
        <f t="shared" si="6"/>
        <v>-8507.1999999999989</v>
      </c>
      <c r="G47" s="47">
        <f t="shared" si="7"/>
        <v>404.66067670451139</v>
      </c>
      <c r="H47" s="60">
        <f t="shared" si="8"/>
        <v>145288.59183739367</v>
      </c>
      <c r="J47" s="74">
        <f t="shared" si="0"/>
        <v>19</v>
      </c>
      <c r="K47" s="48">
        <f t="shared" si="9"/>
        <v>145832.09054141669</v>
      </c>
      <c r="L47" s="43">
        <f t="shared" si="13"/>
        <v>-8101.782807856478</v>
      </c>
      <c r="M47" s="75">
        <f t="shared" si="2"/>
        <v>137730.30773356021</v>
      </c>
      <c r="N47" s="32"/>
      <c r="O47" s="76">
        <f t="shared" si="15"/>
        <v>-157643.20000000001</v>
      </c>
      <c r="P47" s="39">
        <f t="shared" si="15"/>
        <v>11267.610754560556</v>
      </c>
      <c r="Q47" s="88">
        <f t="shared" si="11"/>
        <v>153933.87334927308</v>
      </c>
      <c r="R47" s="87"/>
    </row>
    <row r="48" spans="1:18" x14ac:dyDescent="0.45">
      <c r="A48" s="3">
        <f t="shared" si="14"/>
        <v>8507.1999999999989</v>
      </c>
      <c r="B48" s="103">
        <f>A48/((1+$F$16)^($F$12-20))</f>
        <v>8125.8008930600054</v>
      </c>
      <c r="C48" s="19">
        <f t="shared" si="12"/>
        <v>44888</v>
      </c>
      <c r="D48" s="26">
        <f t="shared" si="4"/>
        <v>20</v>
      </c>
      <c r="E48" s="34">
        <f t="shared" si="5"/>
        <v>145288.59183739367</v>
      </c>
      <c r="F48" s="107">
        <f t="shared" si="6"/>
        <v>-8507.1999999999989</v>
      </c>
      <c r="G48" s="47">
        <f t="shared" si="7"/>
        <v>381.39910693999354</v>
      </c>
      <c r="H48" s="60">
        <f t="shared" si="8"/>
        <v>137162.79094433365</v>
      </c>
      <c r="J48" s="74">
        <f t="shared" si="0"/>
        <v>20</v>
      </c>
      <c r="K48" s="48">
        <f t="shared" si="9"/>
        <v>137730.30773356021</v>
      </c>
      <c r="L48" s="43">
        <f t="shared" si="13"/>
        <v>-8101.782807856478</v>
      </c>
      <c r="M48" s="75">
        <f t="shared" si="2"/>
        <v>129628.52492570374</v>
      </c>
      <c r="N48" s="32"/>
      <c r="O48" s="76">
        <f t="shared" si="15"/>
        <v>-166150.40000000002</v>
      </c>
      <c r="P48" s="39">
        <f t="shared" si="15"/>
        <v>11649.009861500548</v>
      </c>
      <c r="Q48" s="88">
        <f t="shared" si="11"/>
        <v>162035.65615712956</v>
      </c>
      <c r="R48" s="87"/>
    </row>
    <row r="49" spans="1:18" x14ac:dyDescent="0.45">
      <c r="A49" s="3">
        <f t="shared" si="14"/>
        <v>8507.1999999999989</v>
      </c>
      <c r="B49" s="103">
        <f>A49/((1+$F$16)^($F$12-21))</f>
        <v>8149.1292444353621</v>
      </c>
      <c r="C49" s="19">
        <f t="shared" si="12"/>
        <v>44918</v>
      </c>
      <c r="D49" s="26">
        <f t="shared" si="4"/>
        <v>21</v>
      </c>
      <c r="E49" s="34">
        <f t="shared" si="5"/>
        <v>137162.79094433365</v>
      </c>
      <c r="F49" s="107">
        <f t="shared" si="6"/>
        <v>-8507.1999999999989</v>
      </c>
      <c r="G49" s="47">
        <f t="shared" si="7"/>
        <v>358.07075556463678</v>
      </c>
      <c r="H49" s="60">
        <f t="shared" si="8"/>
        <v>129013.66169989829</v>
      </c>
      <c r="J49" s="74">
        <f t="shared" si="0"/>
        <v>21</v>
      </c>
      <c r="K49" s="48">
        <f t="shared" si="9"/>
        <v>129628.52492570374</v>
      </c>
      <c r="L49" s="43">
        <f t="shared" si="13"/>
        <v>-8101.782807856478</v>
      </c>
      <c r="M49" s="75">
        <f t="shared" si="2"/>
        <v>121526.74211784726</v>
      </c>
      <c r="N49" s="80"/>
      <c r="O49" s="76">
        <f t="shared" si="15"/>
        <v>-174657.60000000003</v>
      </c>
      <c r="P49" s="39">
        <f t="shared" si="15"/>
        <v>12007.080617065185</v>
      </c>
      <c r="Q49" s="88">
        <f t="shared" si="11"/>
        <v>170137.43896498604</v>
      </c>
      <c r="R49" s="87"/>
    </row>
    <row r="50" spans="1:18" x14ac:dyDescent="0.45">
      <c r="A50" s="3">
        <f t="shared" si="14"/>
        <v>8507.1999999999989</v>
      </c>
      <c r="B50" s="103">
        <f>A50/((1+$F$16)^($F$12-22))</f>
        <v>8172.5245691448017</v>
      </c>
      <c r="C50" s="19">
        <f t="shared" si="12"/>
        <v>44949</v>
      </c>
      <c r="D50" s="26">
        <f t="shared" si="4"/>
        <v>22</v>
      </c>
      <c r="E50" s="34">
        <f t="shared" si="5"/>
        <v>129013.66169989829</v>
      </c>
      <c r="F50" s="107">
        <f t="shared" si="6"/>
        <v>-8507.1999999999989</v>
      </c>
      <c r="G50" s="47">
        <f t="shared" si="7"/>
        <v>334.67543085519719</v>
      </c>
      <c r="H50" s="60">
        <f t="shared" si="8"/>
        <v>120841.13713075349</v>
      </c>
      <c r="J50" s="74">
        <f t="shared" si="0"/>
        <v>22</v>
      </c>
      <c r="K50" s="48">
        <f t="shared" si="9"/>
        <v>121526.74211784726</v>
      </c>
      <c r="L50" s="43">
        <f t="shared" si="13"/>
        <v>-8101.782807856478</v>
      </c>
      <c r="M50" s="75">
        <f t="shared" si="2"/>
        <v>113424.95930999078</v>
      </c>
      <c r="N50" s="32"/>
      <c r="O50" s="76">
        <f t="shared" si="15"/>
        <v>-183164.80000000005</v>
      </c>
      <c r="P50" s="39">
        <f t="shared" si="15"/>
        <v>12341.756047920382</v>
      </c>
      <c r="Q50" s="88">
        <f t="shared" si="11"/>
        <v>178239.22177284252</v>
      </c>
      <c r="R50" s="32"/>
    </row>
    <row r="51" spans="1:18" x14ac:dyDescent="0.45">
      <c r="A51" s="3">
        <f t="shared" si="14"/>
        <v>8507.1999999999989</v>
      </c>
      <c r="B51" s="103">
        <f>A51/((1+$F$16)^($F$12-23))</f>
        <v>8195.9870594619824</v>
      </c>
      <c r="C51" s="19">
        <f t="shared" si="12"/>
        <v>44980</v>
      </c>
      <c r="D51" s="26">
        <f t="shared" si="4"/>
        <v>23</v>
      </c>
      <c r="E51" s="34">
        <f t="shared" si="5"/>
        <v>120841.13713075349</v>
      </c>
      <c r="F51" s="107">
        <f t="shared" si="6"/>
        <v>-8507.1999999999989</v>
      </c>
      <c r="G51" s="47">
        <f t="shared" si="7"/>
        <v>311.21294053801648</v>
      </c>
      <c r="H51" s="60">
        <f t="shared" si="8"/>
        <v>112645.1500712915</v>
      </c>
      <c r="J51" s="74">
        <f t="shared" si="0"/>
        <v>23</v>
      </c>
      <c r="K51" s="48">
        <f t="shared" si="9"/>
        <v>113424.95930999078</v>
      </c>
      <c r="L51" s="43">
        <f t="shared" si="13"/>
        <v>-8101.782807856478</v>
      </c>
      <c r="M51" s="75">
        <f t="shared" si="2"/>
        <v>105323.1765021343</v>
      </c>
      <c r="N51" s="32"/>
      <c r="O51" s="76">
        <f t="shared" si="15"/>
        <v>-191672.00000000006</v>
      </c>
      <c r="P51" s="39">
        <f t="shared" si="15"/>
        <v>12652.968988458399</v>
      </c>
      <c r="Q51" s="88">
        <f t="shared" si="11"/>
        <v>186341.00458069899</v>
      </c>
      <c r="R51" s="32"/>
    </row>
    <row r="52" spans="1:18" x14ac:dyDescent="0.45">
      <c r="A52" s="3">
        <f t="shared" si="14"/>
        <v>8507.1999999999989</v>
      </c>
      <c r="B52" s="103">
        <f>A52/((1+$F$16)^($F$12-24))</f>
        <v>8219.5169082125594</v>
      </c>
      <c r="C52" s="19">
        <f t="shared" si="12"/>
        <v>45008</v>
      </c>
      <c r="D52" s="26">
        <f t="shared" si="4"/>
        <v>24</v>
      </c>
      <c r="E52" s="34">
        <f t="shared" si="5"/>
        <v>112645.1500712915</v>
      </c>
      <c r="F52" s="107">
        <f t="shared" si="6"/>
        <v>-8507.1999999999989</v>
      </c>
      <c r="G52" s="47">
        <f t="shared" si="7"/>
        <v>287.68309178743948</v>
      </c>
      <c r="H52" s="60">
        <f t="shared" si="8"/>
        <v>104425.63316307895</v>
      </c>
      <c r="J52" s="74">
        <f t="shared" si="0"/>
        <v>24</v>
      </c>
      <c r="K52" s="48">
        <f t="shared" si="9"/>
        <v>105323.1765021343</v>
      </c>
      <c r="L52" s="43">
        <f t="shared" si="13"/>
        <v>-8101.782807856478</v>
      </c>
      <c r="M52" s="75">
        <f t="shared" si="2"/>
        <v>97221.393694277824</v>
      </c>
      <c r="N52" s="32"/>
      <c r="O52" s="76">
        <f t="shared" si="15"/>
        <v>-200179.20000000007</v>
      </c>
      <c r="P52" s="39">
        <f t="shared" si="15"/>
        <v>12940.652080245838</v>
      </c>
      <c r="Q52" s="88">
        <f t="shared" si="11"/>
        <v>194442.78738855547</v>
      </c>
      <c r="R52" s="32"/>
    </row>
    <row r="53" spans="1:18" x14ac:dyDescent="0.45">
      <c r="A53" s="3">
        <f>85*104</f>
        <v>8840</v>
      </c>
      <c r="B53" s="103">
        <f>A53/((1+$F$16)^($F$12-25))</f>
        <v>8565.5833281899886</v>
      </c>
      <c r="C53" s="19">
        <f t="shared" si="12"/>
        <v>45039</v>
      </c>
      <c r="D53" s="26">
        <f t="shared" si="4"/>
        <v>25</v>
      </c>
      <c r="E53" s="34">
        <f t="shared" si="5"/>
        <v>104425.63316307895</v>
      </c>
      <c r="F53" s="107">
        <f t="shared" si="6"/>
        <v>-8840</v>
      </c>
      <c r="G53" s="47">
        <f t="shared" si="7"/>
        <v>274.41667181001139</v>
      </c>
      <c r="H53" s="60">
        <f t="shared" si="8"/>
        <v>95860.049834888967</v>
      </c>
      <c r="J53" s="74">
        <f t="shared" si="0"/>
        <v>25</v>
      </c>
      <c r="K53" s="48">
        <f t="shared" si="9"/>
        <v>97221.393694277824</v>
      </c>
      <c r="L53" s="43">
        <f t="shared" si="13"/>
        <v>-8101.782807856478</v>
      </c>
      <c r="M53" s="75">
        <f t="shared" si="2"/>
        <v>89119.610886421346</v>
      </c>
      <c r="N53" s="32"/>
      <c r="O53" s="76">
        <f t="shared" si="15"/>
        <v>-209019.20000000007</v>
      </c>
      <c r="P53" s="39">
        <f t="shared" si="15"/>
        <v>13215.068752055849</v>
      </c>
      <c r="Q53" s="88">
        <f t="shared" si="11"/>
        <v>202544.57019641195</v>
      </c>
      <c r="R53" s="32"/>
    </row>
    <row r="54" spans="1:18" x14ac:dyDescent="0.45">
      <c r="A54" s="3">
        <f t="shared" ref="A54:A64" si="16">85*104</f>
        <v>8840</v>
      </c>
      <c r="B54" s="103">
        <f>A54/((1+$F$16)^($F$12-26))</f>
        <v>8590.1742503950336</v>
      </c>
      <c r="C54" s="19">
        <f t="shared" si="12"/>
        <v>45069</v>
      </c>
      <c r="D54" s="26">
        <f t="shared" si="4"/>
        <v>26</v>
      </c>
      <c r="E54" s="34">
        <f t="shared" si="5"/>
        <v>95860.049834888967</v>
      </c>
      <c r="F54" s="107">
        <f t="shared" si="6"/>
        <v>-8840</v>
      </c>
      <c r="G54" s="47">
        <f t="shared" si="7"/>
        <v>249.8257496049664</v>
      </c>
      <c r="H54" s="60">
        <f t="shared" si="8"/>
        <v>87269.87558449393</v>
      </c>
      <c r="J54" s="74">
        <f t="shared" si="0"/>
        <v>26</v>
      </c>
      <c r="K54" s="48">
        <f t="shared" si="9"/>
        <v>89119.610886421346</v>
      </c>
      <c r="L54" s="43">
        <f t="shared" si="13"/>
        <v>-8101.782807856478</v>
      </c>
      <c r="M54" s="75">
        <f t="shared" si="2"/>
        <v>81017.828078564868</v>
      </c>
      <c r="N54" s="32"/>
      <c r="O54" s="76">
        <f t="shared" si="15"/>
        <v>-217859.20000000007</v>
      </c>
      <c r="P54" s="39">
        <f t="shared" si="15"/>
        <v>13464.894501660816</v>
      </c>
      <c r="Q54" s="88">
        <f t="shared" si="11"/>
        <v>210646.35300426843</v>
      </c>
      <c r="R54" s="32"/>
    </row>
    <row r="55" spans="1:18" x14ac:dyDescent="0.45">
      <c r="A55" s="3">
        <f t="shared" si="16"/>
        <v>8840</v>
      </c>
      <c r="B55" s="103">
        <f>A55/((1+$F$16)^($F$12-27))</f>
        <v>8614.8357706471361</v>
      </c>
      <c r="C55" s="19">
        <f t="shared" si="12"/>
        <v>45100</v>
      </c>
      <c r="D55" s="26">
        <f t="shared" si="4"/>
        <v>27</v>
      </c>
      <c r="E55" s="34">
        <f t="shared" si="5"/>
        <v>87269.87558449393</v>
      </c>
      <c r="F55" s="107">
        <f t="shared" si="6"/>
        <v>-8840</v>
      </c>
      <c r="G55" s="47">
        <f t="shared" si="7"/>
        <v>225.16422935286391</v>
      </c>
      <c r="H55" s="60">
        <f t="shared" si="8"/>
        <v>78655.039813846786</v>
      </c>
      <c r="J55" s="74">
        <f t="shared" si="0"/>
        <v>27</v>
      </c>
      <c r="K55" s="48">
        <f t="shared" si="9"/>
        <v>81017.828078564868</v>
      </c>
      <c r="L55" s="43">
        <f t="shared" si="13"/>
        <v>-8101.782807856478</v>
      </c>
      <c r="M55" s="75">
        <f t="shared" si="2"/>
        <v>72916.04527070839</v>
      </c>
      <c r="N55" s="32"/>
      <c r="O55" s="76">
        <f t="shared" si="15"/>
        <v>-226699.20000000007</v>
      </c>
      <c r="P55" s="39">
        <f t="shared" si="15"/>
        <v>13690.05873101368</v>
      </c>
      <c r="Q55" s="88">
        <f t="shared" si="11"/>
        <v>218748.13581212491</v>
      </c>
      <c r="R55" s="32"/>
    </row>
    <row r="56" spans="1:18" x14ac:dyDescent="0.45">
      <c r="A56" s="3">
        <f t="shared" si="16"/>
        <v>8840</v>
      </c>
      <c r="B56" s="103">
        <f>A56/((1+$F$16)^($F$12-28))</f>
        <v>8639.5680916261445</v>
      </c>
      <c r="C56" s="19">
        <f t="shared" si="12"/>
        <v>45130</v>
      </c>
      <c r="D56" s="26">
        <f t="shared" si="4"/>
        <v>28</v>
      </c>
      <c r="E56" s="34">
        <f t="shared" si="5"/>
        <v>78655.039813846786</v>
      </c>
      <c r="F56" s="107">
        <f t="shared" si="6"/>
        <v>-8840</v>
      </c>
      <c r="G56" s="47">
        <f t="shared" si="7"/>
        <v>200.43190837385555</v>
      </c>
      <c r="H56" s="60">
        <f t="shared" si="8"/>
        <v>70015.471722220638</v>
      </c>
      <c r="J56" s="74">
        <f t="shared" si="0"/>
        <v>28</v>
      </c>
      <c r="K56" s="48">
        <f t="shared" si="9"/>
        <v>72916.04527070839</v>
      </c>
      <c r="L56" s="43">
        <f t="shared" si="13"/>
        <v>-8101.782807856478</v>
      </c>
      <c r="M56" s="75">
        <f t="shared" si="2"/>
        <v>64814.262462851912</v>
      </c>
      <c r="N56" s="32"/>
      <c r="O56" s="76">
        <f t="shared" si="15"/>
        <v>-235539.20000000007</v>
      </c>
      <c r="P56" s="39">
        <f t="shared" si="15"/>
        <v>13890.490639387535</v>
      </c>
      <c r="Q56" s="88">
        <f t="shared" si="11"/>
        <v>226849.91861998138</v>
      </c>
      <c r="R56" s="32"/>
    </row>
    <row r="57" spans="1:18" x14ac:dyDescent="0.45">
      <c r="A57" s="3">
        <f t="shared" si="16"/>
        <v>8840</v>
      </c>
      <c r="B57" s="103">
        <f>A57/((1+$F$16)^($F$12-29))</f>
        <v>8664.3714165937672</v>
      </c>
      <c r="C57" s="19">
        <f t="shared" si="12"/>
        <v>45161</v>
      </c>
      <c r="D57" s="26">
        <f t="shared" si="4"/>
        <v>29</v>
      </c>
      <c r="E57" s="34">
        <f t="shared" si="5"/>
        <v>70015.471722220638</v>
      </c>
      <c r="F57" s="107">
        <f t="shared" si="6"/>
        <v>-8840</v>
      </c>
      <c r="G57" s="47">
        <f t="shared" si="7"/>
        <v>175.62858340623279</v>
      </c>
      <c r="H57" s="60">
        <f t="shared" si="8"/>
        <v>61351.100305626867</v>
      </c>
      <c r="J57" s="74">
        <f t="shared" si="0"/>
        <v>29</v>
      </c>
      <c r="K57" s="48">
        <f t="shared" si="9"/>
        <v>64814.262462851912</v>
      </c>
      <c r="L57" s="43">
        <f t="shared" si="13"/>
        <v>-8101.782807856478</v>
      </c>
      <c r="M57" s="75">
        <f t="shared" si="2"/>
        <v>56712.479654995434</v>
      </c>
      <c r="N57" s="32"/>
      <c r="O57" s="76">
        <f t="shared" si="15"/>
        <v>-244379.20000000007</v>
      </c>
      <c r="P57" s="39">
        <f t="shared" si="15"/>
        <v>14066.119222793768</v>
      </c>
      <c r="Q57" s="88">
        <f t="shared" si="11"/>
        <v>234951.70142783786</v>
      </c>
      <c r="R57" s="32"/>
    </row>
    <row r="58" spans="1:18" x14ac:dyDescent="0.45">
      <c r="A58" s="3">
        <f t="shared" si="16"/>
        <v>8840</v>
      </c>
      <c r="B58" s="103">
        <f>A58/((1+$F$16)^($F$12-30))</f>
        <v>8689.245949395272</v>
      </c>
      <c r="C58" s="19">
        <f t="shared" si="12"/>
        <v>45192</v>
      </c>
      <c r="D58" s="26">
        <f t="shared" si="4"/>
        <v>30</v>
      </c>
      <c r="E58" s="34">
        <f t="shared" si="5"/>
        <v>61351.100305626867</v>
      </c>
      <c r="F58" s="107">
        <f t="shared" si="6"/>
        <v>-8840</v>
      </c>
      <c r="G58" s="47">
        <f t="shared" si="7"/>
        <v>150.75405060472804</v>
      </c>
      <c r="H58" s="60">
        <f t="shared" si="8"/>
        <v>52661.854356231597</v>
      </c>
      <c r="J58" s="74">
        <f t="shared" si="0"/>
        <v>30</v>
      </c>
      <c r="K58" s="48">
        <f t="shared" si="9"/>
        <v>56712.479654995434</v>
      </c>
      <c r="L58" s="43">
        <f t="shared" si="13"/>
        <v>-8101.782807856478</v>
      </c>
      <c r="M58" s="75">
        <f t="shared" si="2"/>
        <v>48610.696847138955</v>
      </c>
      <c r="N58" s="32"/>
      <c r="O58" s="76">
        <f t="shared" si="15"/>
        <v>-253219.20000000007</v>
      </c>
      <c r="P58" s="39">
        <f t="shared" si="15"/>
        <v>14216.873273398496</v>
      </c>
      <c r="Q58" s="88">
        <f t="shared" si="11"/>
        <v>243053.48423569434</v>
      </c>
      <c r="R58" s="32"/>
    </row>
    <row r="59" spans="1:18" x14ac:dyDescent="0.45">
      <c r="A59" s="3">
        <f t="shared" si="16"/>
        <v>8840</v>
      </c>
      <c r="B59" s="103">
        <f>A59/((1+$F$16)^($F$12-31))</f>
        <v>8714.1918944611316</v>
      </c>
      <c r="C59" s="19">
        <f t="shared" si="12"/>
        <v>45222</v>
      </c>
      <c r="D59" s="26">
        <f t="shared" si="4"/>
        <v>31</v>
      </c>
      <c r="E59" s="34">
        <f t="shared" si="5"/>
        <v>52661.854356231597</v>
      </c>
      <c r="F59" s="107">
        <f t="shared" si="6"/>
        <v>-8840</v>
      </c>
      <c r="G59" s="47">
        <f t="shared" si="7"/>
        <v>125.8081055388684</v>
      </c>
      <c r="H59" s="60">
        <f t="shared" si="8"/>
        <v>43947.662461770466</v>
      </c>
      <c r="J59" s="74">
        <f t="shared" si="0"/>
        <v>31</v>
      </c>
      <c r="K59" s="48">
        <f t="shared" si="9"/>
        <v>48610.696847138955</v>
      </c>
      <c r="L59" s="43">
        <f t="shared" si="13"/>
        <v>-8101.782807856478</v>
      </c>
      <c r="M59" s="75">
        <f t="shared" si="2"/>
        <v>40508.914039282477</v>
      </c>
      <c r="N59" s="32"/>
      <c r="O59" s="76">
        <f t="shared" si="15"/>
        <v>-262059.20000000007</v>
      </c>
      <c r="P59" s="39">
        <f t="shared" si="15"/>
        <v>14342.681378937365</v>
      </c>
      <c r="Q59" s="88">
        <f t="shared" si="11"/>
        <v>251155.26704355082</v>
      </c>
      <c r="R59" s="32"/>
    </row>
    <row r="60" spans="1:18" x14ac:dyDescent="0.45">
      <c r="A60" s="3">
        <f t="shared" si="16"/>
        <v>8840</v>
      </c>
      <c r="B60" s="103">
        <f>A60/((1+$F$16)^($F$12-32))</f>
        <v>8739.2094568087286</v>
      </c>
      <c r="C60" s="19">
        <f t="shared" si="12"/>
        <v>45253</v>
      </c>
      <c r="D60" s="26">
        <f t="shared" si="4"/>
        <v>32</v>
      </c>
      <c r="E60" s="34">
        <f t="shared" si="5"/>
        <v>43947.662461770466</v>
      </c>
      <c r="F60" s="107">
        <f t="shared" si="6"/>
        <v>-8840</v>
      </c>
      <c r="G60" s="47">
        <f t="shared" si="7"/>
        <v>100.79054319127135</v>
      </c>
      <c r="H60" s="60">
        <f t="shared" si="8"/>
        <v>35208.453004961739</v>
      </c>
      <c r="J60" s="74">
        <f t="shared" si="0"/>
        <v>32</v>
      </c>
      <c r="K60" s="48">
        <f t="shared" si="9"/>
        <v>40508.914039282477</v>
      </c>
      <c r="L60" s="43">
        <f t="shared" si="13"/>
        <v>-8101.782807856478</v>
      </c>
      <c r="M60" s="75">
        <f t="shared" si="2"/>
        <v>32407.131231425999</v>
      </c>
      <c r="N60" s="32"/>
      <c r="O60" s="76">
        <f t="shared" si="15"/>
        <v>-270899.20000000007</v>
      </c>
      <c r="P60" s="39">
        <f t="shared" si="15"/>
        <v>14443.471922128636</v>
      </c>
      <c r="Q60" s="88">
        <f t="shared" si="11"/>
        <v>259257.0498514073</v>
      </c>
      <c r="R60" s="32"/>
    </row>
    <row r="61" spans="1:18" x14ac:dyDescent="0.45">
      <c r="A61" s="3">
        <f t="shared" si="16"/>
        <v>8840</v>
      </c>
      <c r="B61" s="103">
        <f>A61/((1+$F$16)^($F$12-33))</f>
        <v>8764.2988420440215</v>
      </c>
      <c r="C61" s="19">
        <f t="shared" si="12"/>
        <v>45283</v>
      </c>
      <c r="D61" s="26">
        <f t="shared" si="4"/>
        <v>33</v>
      </c>
      <c r="E61" s="34">
        <f t="shared" si="5"/>
        <v>35208.453004961739</v>
      </c>
      <c r="F61" s="107">
        <f t="shared" si="6"/>
        <v>-8840</v>
      </c>
      <c r="G61" s="47">
        <f t="shared" si="7"/>
        <v>75.701157955978488</v>
      </c>
      <c r="H61" s="60">
        <f t="shared" si="8"/>
        <v>26444.154162917715</v>
      </c>
      <c r="J61" s="74">
        <f t="shared" si="0"/>
        <v>33</v>
      </c>
      <c r="K61" s="48">
        <f t="shared" si="9"/>
        <v>32407.131231425999</v>
      </c>
      <c r="L61" s="43">
        <f t="shared" si="13"/>
        <v>-8101.782807856478</v>
      </c>
      <c r="M61" s="75">
        <f t="shared" si="2"/>
        <v>24305.348423569521</v>
      </c>
      <c r="N61" s="32"/>
      <c r="O61" s="76">
        <f t="shared" si="15"/>
        <v>-279739.20000000007</v>
      </c>
      <c r="P61" s="39">
        <f t="shared" si="15"/>
        <v>14519.173080084614</v>
      </c>
      <c r="Q61" s="88">
        <f t="shared" si="11"/>
        <v>267358.83265926375</v>
      </c>
      <c r="R61" s="32"/>
    </row>
    <row r="62" spans="1:18" x14ac:dyDescent="0.45">
      <c r="A62" s="3">
        <f t="shared" si="16"/>
        <v>8840</v>
      </c>
      <c r="B62" s="103">
        <f>A62/((1+$F$16)^($F$12-34))</f>
        <v>8789.4602563632525</v>
      </c>
      <c r="C62" s="19">
        <f t="shared" si="12"/>
        <v>45314</v>
      </c>
      <c r="D62" s="26">
        <f t="shared" si="4"/>
        <v>34</v>
      </c>
      <c r="E62" s="34">
        <f t="shared" si="5"/>
        <v>26444.154162917715</v>
      </c>
      <c r="F62" s="107">
        <f t="shared" si="6"/>
        <v>-8840</v>
      </c>
      <c r="G62" s="47">
        <f t="shared" si="7"/>
        <v>50.539743636747517</v>
      </c>
      <c r="H62" s="60">
        <f t="shared" si="8"/>
        <v>17654.693906554465</v>
      </c>
      <c r="J62" s="74">
        <f t="shared" si="0"/>
        <v>34</v>
      </c>
      <c r="K62" s="48">
        <f t="shared" si="9"/>
        <v>24305.348423569521</v>
      </c>
      <c r="L62" s="43">
        <f t="shared" si="13"/>
        <v>-8101.782807856478</v>
      </c>
      <c r="M62" s="75">
        <f t="shared" si="2"/>
        <v>16203.565615713043</v>
      </c>
      <c r="N62" s="32"/>
      <c r="O62" s="76">
        <f t="shared" ref="O62:P64" si="17">+O61+F62</f>
        <v>-288579.20000000007</v>
      </c>
      <c r="P62" s="39">
        <f t="shared" si="17"/>
        <v>14569.712823721362</v>
      </c>
      <c r="Q62" s="88">
        <f t="shared" si="11"/>
        <v>275460.61546712019</v>
      </c>
      <c r="R62" s="32"/>
    </row>
    <row r="63" spans="1:18" x14ac:dyDescent="0.45">
      <c r="A63" s="3">
        <f t="shared" si="16"/>
        <v>8840</v>
      </c>
      <c r="B63" s="103">
        <f>A63/((1+$F$16)^($F$12-35))</f>
        <v>8814.6939065546194</v>
      </c>
      <c r="C63" s="19">
        <f t="shared" si="12"/>
        <v>45345</v>
      </c>
      <c r="D63" s="26">
        <f t="shared" si="4"/>
        <v>35</v>
      </c>
      <c r="E63" s="34">
        <f t="shared" si="5"/>
        <v>17654.693906554465</v>
      </c>
      <c r="F63" s="107">
        <f t="shared" si="6"/>
        <v>-8840</v>
      </c>
      <c r="G63" s="47">
        <f t="shared" si="7"/>
        <v>25.306093445380611</v>
      </c>
      <c r="H63" s="60">
        <f t="shared" si="8"/>
        <v>8839.9999999998454</v>
      </c>
      <c r="J63" s="74">
        <f t="shared" si="0"/>
        <v>35</v>
      </c>
      <c r="K63" s="48">
        <f t="shared" si="9"/>
        <v>16203.565615713043</v>
      </c>
      <c r="L63" s="43">
        <f t="shared" si="13"/>
        <v>-8101.782807856478</v>
      </c>
      <c r="M63" s="75">
        <f t="shared" si="2"/>
        <v>8101.7828078565653</v>
      </c>
      <c r="N63" s="32"/>
      <c r="O63" s="76">
        <f t="shared" si="17"/>
        <v>-297419.20000000007</v>
      </c>
      <c r="P63" s="39">
        <f t="shared" si="17"/>
        <v>14595.018917166743</v>
      </c>
      <c r="Q63" s="88">
        <f t="shared" si="11"/>
        <v>283562.39827497664</v>
      </c>
      <c r="R63" s="32"/>
    </row>
    <row r="64" spans="1:18" x14ac:dyDescent="0.45">
      <c r="A64" s="3">
        <f t="shared" si="16"/>
        <v>8840</v>
      </c>
      <c r="B64" s="103">
        <f>A64/((1+$F$16)^($F$12-36))</f>
        <v>8840</v>
      </c>
      <c r="C64" s="19">
        <f t="shared" si="12"/>
        <v>45374</v>
      </c>
      <c r="D64" s="26">
        <f t="shared" si="4"/>
        <v>36</v>
      </c>
      <c r="E64" s="34">
        <f t="shared" si="5"/>
        <v>8839.9999999998454</v>
      </c>
      <c r="F64" s="107">
        <f t="shared" si="6"/>
        <v>-8840</v>
      </c>
      <c r="G64" s="47">
        <f t="shared" si="7"/>
        <v>0</v>
      </c>
      <c r="H64" s="60">
        <f t="shared" si="8"/>
        <v>-1.546140993013978E-10</v>
      </c>
      <c r="J64" s="74">
        <f t="shared" si="0"/>
        <v>36</v>
      </c>
      <c r="K64" s="48">
        <f t="shared" si="9"/>
        <v>8101.7828078565653</v>
      </c>
      <c r="L64" s="43">
        <f t="shared" si="13"/>
        <v>-8101.782807856478</v>
      </c>
      <c r="M64" s="75">
        <f t="shared" si="2"/>
        <v>8.7311491370201111E-11</v>
      </c>
      <c r="N64" s="32"/>
      <c r="O64" s="76">
        <f t="shared" si="17"/>
        <v>-306259.20000000007</v>
      </c>
      <c r="P64" s="39">
        <f t="shared" si="17"/>
        <v>14595.018917166743</v>
      </c>
      <c r="Q64" s="88">
        <f t="shared" si="11"/>
        <v>291664.18108283309</v>
      </c>
      <c r="R64" s="32"/>
    </row>
    <row r="65" spans="2:18" x14ac:dyDescent="0.45">
      <c r="B65" s="7"/>
      <c r="C65" s="19">
        <f t="shared" si="12"/>
        <v>45405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2"/>
        <v>45435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2"/>
        <v>45466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2"/>
        <v>45496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2"/>
        <v>45527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2"/>
        <v>45558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2"/>
        <v>45588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2"/>
        <v>45619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2"/>
        <v>45649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2"/>
        <v>45680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2"/>
        <v>45711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2"/>
        <v>45739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2"/>
        <v>45770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2"/>
        <v>45800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2"/>
        <v>45831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2"/>
        <v>45861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2"/>
        <v>45892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2"/>
        <v>45923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2"/>
        <v>45953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2"/>
        <v>45984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2"/>
        <v>46014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2"/>
        <v>46045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2"/>
        <v>46076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2"/>
        <v>46104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2"/>
        <v>46135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2"/>
        <v>46165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2"/>
        <v>46196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2"/>
        <v>46226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2"/>
        <v>46257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2"/>
        <v>46288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8">DATE(YEAR(C94),MONTH(C94)+1,DAY(C94))</f>
        <v>46318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8"/>
        <v>46349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8"/>
        <v>46379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8"/>
        <v>46410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8"/>
        <v>46441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8"/>
        <v>46469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8"/>
        <v>46500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8"/>
        <v>46530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8"/>
        <v>46561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8"/>
        <v>46591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8"/>
        <v>46622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8"/>
        <v>46653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8"/>
        <v>46683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-306259.20000000007</v>
      </c>
      <c r="G110" s="43">
        <f>SUM(G29:G107)</f>
        <v>14595.018917166743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291664.18108283321</v>
      </c>
      <c r="G116" s="119">
        <f>INDEX(M:M,MATCH(DATE(2021,12,DAY(D10)),C:C))</f>
        <v>218748.13581212499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-67315.393447717754</v>
      </c>
      <c r="G119" s="113">
        <f ca="1">IFERROR(SUM(INDIRECT("F"&amp;MATCH(DATE(2022,1,DAY(D10)),C:C)):INDIRECT("G"&amp;MATCH(DATE(2022,1,DAY(D10)),C:C)+11)),VALUE("0"))</f>
        <v>-95335.125935217031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-224348.78763511547</v>
      </c>
      <c r="G123" s="113">
        <f ca="1">IFERROR(SUM(INDIRECT("F"&amp;MATCH(DATE(2023,1,DAY(D10)),C:C)):G107),VALUE("0"))</f>
        <v>-129013.66169989844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-101087.99999999997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-131601.60000000001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02B6E-F5C6-45E4-9269-83D34427EEB1}">
  <dimension ref="A1:R130"/>
  <sheetViews>
    <sheetView topLeftCell="A109" zoomScale="85" zoomScaleNormal="85" workbookViewId="0">
      <selection activeCell="F116" sqref="F116"/>
    </sheetView>
  </sheetViews>
  <sheetFormatPr defaultRowHeight="14.25" x14ac:dyDescent="0.45"/>
  <cols>
    <col min="1" max="1" width="13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128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44301</v>
      </c>
      <c r="E10" s="12">
        <f>VLOOKUP($C$2,'Lease Summary'!D:H,4,FALSE)</f>
        <v>45412</v>
      </c>
      <c r="F10">
        <f>DATEDIF(D10,E10,"m")+1</f>
        <v>37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37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28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3.0833333333333335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637986.13270253211</v>
      </c>
      <c r="J22" s="17" t="s">
        <v>234</v>
      </c>
      <c r="K22" s="22"/>
      <c r="L22" s="7"/>
      <c r="M22" s="65">
        <f>H22</f>
        <v>637986.13270253211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637986.13270253211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v>16812.8</v>
      </c>
      <c r="B29" s="103">
        <f>A29/((1+$F$16)^($F$12-1))</f>
        <v>15164.182321855329</v>
      </c>
      <c r="C29" s="19">
        <f>D10</f>
        <v>44301</v>
      </c>
      <c r="D29" s="27">
        <v>1</v>
      </c>
      <c r="E29" s="33">
        <f>A28</f>
        <v>637986.13270253211</v>
      </c>
      <c r="F29" s="106">
        <f>-A29</f>
        <v>-16812.8</v>
      </c>
      <c r="G29" s="46">
        <f>A29-B29</f>
        <v>1648.6176781446702</v>
      </c>
      <c r="H29" s="59">
        <f>SUM(E29:G29)</f>
        <v>622821.95038067678</v>
      </c>
      <c r="J29" s="69">
        <f t="shared" ref="J29:J64" si="0">D29</f>
        <v>1</v>
      </c>
      <c r="K29" s="70">
        <f>M22</f>
        <v>637986.13270253211</v>
      </c>
      <c r="L29" s="42">
        <f t="shared" ref="L29:L40" si="1">-$M$22/$F$12</f>
        <v>-17242.868451419788</v>
      </c>
      <c r="M29" s="71">
        <f t="shared" ref="M29:M64" si="2">K29+L29</f>
        <v>620743.26425111236</v>
      </c>
      <c r="N29" s="32"/>
      <c r="O29" s="72">
        <f>+F29</f>
        <v>-16812.8</v>
      </c>
      <c r="P29" s="73">
        <f>+G29</f>
        <v>1648.6176781446702</v>
      </c>
      <c r="Q29" s="71">
        <f>-L29</f>
        <v>17242.868451419788</v>
      </c>
      <c r="R29" s="85"/>
    </row>
    <row r="30" spans="1:18" x14ac:dyDescent="0.45">
      <c r="A30" s="3">
        <v>16812.8</v>
      </c>
      <c r="B30" s="103">
        <f>A30/((1+$F$16)^($F$12-2))</f>
        <v>15207.717153458985</v>
      </c>
      <c r="C30" s="19">
        <f>DATE(YEAR(C29),MONTH(C29)+1,DAY(C29))</f>
        <v>44331</v>
      </c>
      <c r="D30" s="26">
        <f t="shared" ref="D30:D64" si="3">D29+1</f>
        <v>2</v>
      </c>
      <c r="E30" s="34">
        <f t="shared" ref="E30:E64" si="4">H29</f>
        <v>622821.95038067678</v>
      </c>
      <c r="F30" s="107">
        <f t="shared" ref="F30:F64" si="5">-A30</f>
        <v>-16812.8</v>
      </c>
      <c r="G30" s="47">
        <f t="shared" ref="G30:G64" si="6">A30-B30</f>
        <v>1605.0828465410141</v>
      </c>
      <c r="H30" s="60">
        <f t="shared" ref="H30:H64" si="7">SUM(E30:G30)</f>
        <v>607614.23322721769</v>
      </c>
      <c r="J30" s="74">
        <f t="shared" si="0"/>
        <v>2</v>
      </c>
      <c r="K30" s="48">
        <f t="shared" ref="K30:K64" si="8">M29</f>
        <v>620743.26425111236</v>
      </c>
      <c r="L30" s="43">
        <f t="shared" si="1"/>
        <v>-17242.868451419788</v>
      </c>
      <c r="M30" s="75">
        <f t="shared" si="2"/>
        <v>603500.3957996926</v>
      </c>
      <c r="N30" s="32"/>
      <c r="O30" s="76">
        <f t="shared" ref="O30:P45" si="9">+O29+F30</f>
        <v>-33625.599999999999</v>
      </c>
      <c r="P30" s="77">
        <f t="shared" si="9"/>
        <v>3253.7005246856843</v>
      </c>
      <c r="Q30" s="75">
        <f t="shared" ref="Q30:Q64" si="10">+Q29-L30</f>
        <v>34485.736902839577</v>
      </c>
      <c r="R30" s="86"/>
    </row>
    <row r="31" spans="1:18" x14ac:dyDescent="0.45">
      <c r="A31" s="3">
        <v>16812.8</v>
      </c>
      <c r="B31" s="103">
        <f>A31/((1+$F$16)^($F$12-3))</f>
        <v>15251.376969154933</v>
      </c>
      <c r="C31" s="19">
        <f t="shared" ref="C31:C94" si="11">DATE(YEAR(C30),MONTH(C30)+1,DAY(C30))</f>
        <v>44362</v>
      </c>
      <c r="D31" s="26">
        <f t="shared" si="3"/>
        <v>3</v>
      </c>
      <c r="E31" s="34">
        <f t="shared" si="4"/>
        <v>607614.23322721769</v>
      </c>
      <c r="F31" s="107">
        <f t="shared" si="5"/>
        <v>-16812.8</v>
      </c>
      <c r="G31" s="47">
        <f t="shared" si="6"/>
        <v>1561.423030845066</v>
      </c>
      <c r="H31" s="60">
        <f t="shared" si="7"/>
        <v>592362.85625806276</v>
      </c>
      <c r="J31" s="74">
        <f t="shared" si="0"/>
        <v>3</v>
      </c>
      <c r="K31" s="48">
        <f t="shared" si="8"/>
        <v>603500.3957996926</v>
      </c>
      <c r="L31" s="43">
        <f t="shared" si="1"/>
        <v>-17242.868451419788</v>
      </c>
      <c r="M31" s="75">
        <f t="shared" si="2"/>
        <v>586257.52734827285</v>
      </c>
      <c r="N31" s="32"/>
      <c r="O31" s="76">
        <f t="shared" si="9"/>
        <v>-50438.399999999994</v>
      </c>
      <c r="P31" s="39">
        <f t="shared" si="9"/>
        <v>4815.1235555307503</v>
      </c>
      <c r="Q31" s="88">
        <f t="shared" si="10"/>
        <v>51728.605354259365</v>
      </c>
      <c r="R31" s="86"/>
    </row>
    <row r="32" spans="1:18" x14ac:dyDescent="0.45">
      <c r="A32" s="3">
        <v>16812.8</v>
      </c>
      <c r="B32" s="103">
        <f>A32/((1+$F$16)^($F$12-4))</f>
        <v>15295.162127759833</v>
      </c>
      <c r="C32" s="19">
        <f t="shared" si="11"/>
        <v>44392</v>
      </c>
      <c r="D32" s="26">
        <f t="shared" si="3"/>
        <v>4</v>
      </c>
      <c r="E32" s="34">
        <f t="shared" si="4"/>
        <v>592362.85625806276</v>
      </c>
      <c r="F32" s="107">
        <f t="shared" si="5"/>
        <v>-16812.8</v>
      </c>
      <c r="G32" s="47">
        <f t="shared" si="6"/>
        <v>1517.637872240166</v>
      </c>
      <c r="H32" s="60">
        <f t="shared" si="7"/>
        <v>577067.69413030287</v>
      </c>
      <c r="J32" s="74">
        <f t="shared" si="0"/>
        <v>4</v>
      </c>
      <c r="K32" s="48">
        <f t="shared" si="8"/>
        <v>586257.52734827285</v>
      </c>
      <c r="L32" s="43">
        <f t="shared" si="1"/>
        <v>-17242.868451419788</v>
      </c>
      <c r="M32" s="75">
        <f t="shared" si="2"/>
        <v>569014.6588968531</v>
      </c>
      <c r="N32" s="32"/>
      <c r="O32" s="76">
        <f t="shared" si="9"/>
        <v>-67251.199999999997</v>
      </c>
      <c r="P32" s="39">
        <f t="shared" si="9"/>
        <v>6332.7614277709163</v>
      </c>
      <c r="Q32" s="88">
        <f t="shared" si="10"/>
        <v>68971.473805679154</v>
      </c>
      <c r="R32" s="86"/>
    </row>
    <row r="33" spans="1:18" x14ac:dyDescent="0.45">
      <c r="A33" s="3">
        <v>16812.8</v>
      </c>
      <c r="B33" s="103">
        <f>A33/((1+$F$16)^($F$12-5))</f>
        <v>15339.072989120488</v>
      </c>
      <c r="C33" s="19">
        <f t="shared" si="11"/>
        <v>44423</v>
      </c>
      <c r="D33" s="26">
        <f t="shared" si="3"/>
        <v>5</v>
      </c>
      <c r="E33" s="34">
        <f t="shared" si="4"/>
        <v>577067.69413030287</v>
      </c>
      <c r="F33" s="107">
        <f t="shared" si="5"/>
        <v>-16812.8</v>
      </c>
      <c r="G33" s="47">
        <f t="shared" si="6"/>
        <v>1473.727010879511</v>
      </c>
      <c r="H33" s="60">
        <f t="shared" si="7"/>
        <v>561728.62114118238</v>
      </c>
      <c r="J33" s="74">
        <f t="shared" si="0"/>
        <v>5</v>
      </c>
      <c r="K33" s="48">
        <f t="shared" si="8"/>
        <v>569014.6588968531</v>
      </c>
      <c r="L33" s="43">
        <f t="shared" si="1"/>
        <v>-17242.868451419788</v>
      </c>
      <c r="M33" s="75">
        <f t="shared" si="2"/>
        <v>551771.79044543335</v>
      </c>
      <c r="N33" s="32"/>
      <c r="O33" s="76">
        <f t="shared" si="9"/>
        <v>-84064</v>
      </c>
      <c r="P33" s="39">
        <f t="shared" si="9"/>
        <v>7806.4884386504273</v>
      </c>
      <c r="Q33" s="88">
        <f t="shared" si="10"/>
        <v>86214.342257098935</v>
      </c>
      <c r="R33" s="86"/>
    </row>
    <row r="34" spans="1:18" x14ac:dyDescent="0.45">
      <c r="A34" s="3">
        <v>16812.8</v>
      </c>
      <c r="B34" s="103">
        <f>A34/((1+$F$16)^($F$12-6))</f>
        <v>15383.109914116774</v>
      </c>
      <c r="C34" s="19">
        <f t="shared" si="11"/>
        <v>44454</v>
      </c>
      <c r="D34" s="26">
        <f t="shared" si="3"/>
        <v>6</v>
      </c>
      <c r="E34" s="34">
        <f t="shared" si="4"/>
        <v>561728.62114118238</v>
      </c>
      <c r="F34" s="107">
        <f t="shared" si="5"/>
        <v>-16812.8</v>
      </c>
      <c r="G34" s="47">
        <f t="shared" si="6"/>
        <v>1429.690085883225</v>
      </c>
      <c r="H34" s="60">
        <f t="shared" si="7"/>
        <v>546345.51122706558</v>
      </c>
      <c r="J34" s="74">
        <f t="shared" si="0"/>
        <v>6</v>
      </c>
      <c r="K34" s="48">
        <f t="shared" si="8"/>
        <v>551771.79044543335</v>
      </c>
      <c r="L34" s="43">
        <f t="shared" si="1"/>
        <v>-17242.868451419788</v>
      </c>
      <c r="M34" s="75">
        <f t="shared" si="2"/>
        <v>534528.9219940136</v>
      </c>
      <c r="N34" s="32"/>
      <c r="O34" s="76">
        <f t="shared" si="9"/>
        <v>-100876.8</v>
      </c>
      <c r="P34" s="39">
        <f t="shared" si="9"/>
        <v>9236.1785245336523</v>
      </c>
      <c r="Q34" s="88">
        <f t="shared" si="10"/>
        <v>103457.21070851872</v>
      </c>
      <c r="R34" s="86"/>
    </row>
    <row r="35" spans="1:18" x14ac:dyDescent="0.45">
      <c r="A35" s="3">
        <v>16812.8</v>
      </c>
      <c r="B35" s="103">
        <f>A35/((1+$F$16)^($F$12-7))</f>
        <v>15427.273264664629</v>
      </c>
      <c r="C35" s="19">
        <f t="shared" si="11"/>
        <v>44484</v>
      </c>
      <c r="D35" s="26">
        <f t="shared" si="3"/>
        <v>7</v>
      </c>
      <c r="E35" s="34">
        <f t="shared" si="4"/>
        <v>546345.51122706558</v>
      </c>
      <c r="F35" s="107">
        <f t="shared" si="5"/>
        <v>-16812.8</v>
      </c>
      <c r="G35" s="47">
        <f t="shared" si="6"/>
        <v>1385.5267353353702</v>
      </c>
      <c r="H35" s="60">
        <f t="shared" si="7"/>
        <v>530918.23796240089</v>
      </c>
      <c r="J35" s="74">
        <f t="shared" si="0"/>
        <v>7</v>
      </c>
      <c r="K35" s="48">
        <f t="shared" si="8"/>
        <v>534528.9219940136</v>
      </c>
      <c r="L35" s="43">
        <f t="shared" si="1"/>
        <v>-17242.868451419788</v>
      </c>
      <c r="M35" s="75">
        <f t="shared" si="2"/>
        <v>517286.05354259379</v>
      </c>
      <c r="N35" s="32"/>
      <c r="O35" s="76">
        <f t="shared" si="9"/>
        <v>-117689.60000000001</v>
      </c>
      <c r="P35" s="39">
        <f t="shared" si="9"/>
        <v>10621.705259869022</v>
      </c>
      <c r="Q35" s="88">
        <f t="shared" si="10"/>
        <v>120700.0791599385</v>
      </c>
      <c r="R35" s="86"/>
    </row>
    <row r="36" spans="1:18" x14ac:dyDescent="0.45">
      <c r="A36" s="3">
        <v>16812.8</v>
      </c>
      <c r="B36" s="103">
        <f>A36/((1+$F$16)^($F$12-8))</f>
        <v>15471.563403719003</v>
      </c>
      <c r="C36" s="19">
        <f t="shared" si="11"/>
        <v>44515</v>
      </c>
      <c r="D36" s="26">
        <f t="shared" si="3"/>
        <v>8</v>
      </c>
      <c r="E36" s="34">
        <f t="shared" si="4"/>
        <v>530918.23796240089</v>
      </c>
      <c r="F36" s="107">
        <f t="shared" si="5"/>
        <v>-16812.8</v>
      </c>
      <c r="G36" s="47">
        <f t="shared" si="6"/>
        <v>1341.2365962809963</v>
      </c>
      <c r="H36" s="60">
        <f t="shared" si="7"/>
        <v>515446.6745586819</v>
      </c>
      <c r="J36" s="74">
        <f t="shared" si="0"/>
        <v>8</v>
      </c>
      <c r="K36" s="48">
        <f t="shared" si="8"/>
        <v>517286.05354259379</v>
      </c>
      <c r="L36" s="43">
        <f t="shared" si="1"/>
        <v>-17242.868451419788</v>
      </c>
      <c r="M36" s="75">
        <f t="shared" si="2"/>
        <v>500043.18509117397</v>
      </c>
      <c r="N36" s="32"/>
      <c r="O36" s="76">
        <f t="shared" si="9"/>
        <v>-134502.39999999999</v>
      </c>
      <c r="P36" s="39">
        <f t="shared" si="9"/>
        <v>11962.941856150019</v>
      </c>
      <c r="Q36" s="88">
        <f t="shared" si="10"/>
        <v>137942.94761135828</v>
      </c>
      <c r="R36" s="86"/>
    </row>
    <row r="37" spans="1:18" x14ac:dyDescent="0.45">
      <c r="A37" s="3">
        <v>16812.8</v>
      </c>
      <c r="B37" s="103">
        <f>A37/((1+$F$16)^($F$12-9))</f>
        <v>15515.980695276847</v>
      </c>
      <c r="C37" s="19">
        <f t="shared" si="11"/>
        <v>44545</v>
      </c>
      <c r="D37" s="26">
        <f t="shared" si="3"/>
        <v>9</v>
      </c>
      <c r="E37" s="34">
        <f t="shared" si="4"/>
        <v>515446.6745586819</v>
      </c>
      <c r="F37" s="107">
        <f t="shared" si="5"/>
        <v>-16812.8</v>
      </c>
      <c r="G37" s="47">
        <f t="shared" si="6"/>
        <v>1296.8193047231525</v>
      </c>
      <c r="H37" s="60">
        <f t="shared" si="7"/>
        <v>499930.69386340509</v>
      </c>
      <c r="J37" s="74">
        <f t="shared" si="0"/>
        <v>9</v>
      </c>
      <c r="K37" s="48">
        <f t="shared" si="8"/>
        <v>500043.18509117397</v>
      </c>
      <c r="L37" s="43">
        <f t="shared" si="1"/>
        <v>-17242.868451419788</v>
      </c>
      <c r="M37" s="75">
        <f t="shared" si="2"/>
        <v>482800.31663975416</v>
      </c>
      <c r="N37" s="32"/>
      <c r="O37" s="76">
        <f t="shared" si="9"/>
        <v>-151315.19999999998</v>
      </c>
      <c r="P37" s="39">
        <f t="shared" si="9"/>
        <v>13259.761160873171</v>
      </c>
      <c r="Q37" s="88">
        <f t="shared" si="10"/>
        <v>155185.81606277806</v>
      </c>
      <c r="R37" s="86"/>
    </row>
    <row r="38" spans="1:18" x14ac:dyDescent="0.45">
      <c r="A38" s="3">
        <v>16812.8</v>
      </c>
      <c r="B38" s="103">
        <f>A38/((1+$F$16)^($F$12-10))</f>
        <v>15560.525504380137</v>
      </c>
      <c r="C38" s="19">
        <f t="shared" si="11"/>
        <v>44576</v>
      </c>
      <c r="D38" s="26">
        <f t="shared" si="3"/>
        <v>10</v>
      </c>
      <c r="E38" s="34">
        <f t="shared" si="4"/>
        <v>499930.69386340509</v>
      </c>
      <c r="F38" s="107">
        <f t="shared" si="5"/>
        <v>-16812.8</v>
      </c>
      <c r="G38" s="47">
        <f t="shared" si="6"/>
        <v>1252.2744956198621</v>
      </c>
      <c r="H38" s="60">
        <f t="shared" si="7"/>
        <v>484370.16835902497</v>
      </c>
      <c r="J38" s="74">
        <f t="shared" si="0"/>
        <v>10</v>
      </c>
      <c r="K38" s="48">
        <f t="shared" si="8"/>
        <v>482800.31663975416</v>
      </c>
      <c r="L38" s="43">
        <f t="shared" si="1"/>
        <v>-17242.868451419788</v>
      </c>
      <c r="M38" s="75">
        <f t="shared" si="2"/>
        <v>465557.44818833435</v>
      </c>
      <c r="N38" s="32"/>
      <c r="O38" s="76">
        <f t="shared" si="9"/>
        <v>-168127.99999999997</v>
      </c>
      <c r="P38" s="39">
        <f t="shared" si="9"/>
        <v>14512.035656493033</v>
      </c>
      <c r="Q38" s="88">
        <f t="shared" si="10"/>
        <v>172428.68451419784</v>
      </c>
      <c r="R38" s="87"/>
    </row>
    <row r="39" spans="1:18" x14ac:dyDescent="0.45">
      <c r="A39" s="3">
        <v>16812.8</v>
      </c>
      <c r="B39" s="103">
        <f>A39/((1+$F$16)^($F$12-11))</f>
        <v>15605.198197118822</v>
      </c>
      <c r="C39" s="19">
        <f t="shared" si="11"/>
        <v>44607</v>
      </c>
      <c r="D39" s="26">
        <f t="shared" si="3"/>
        <v>11</v>
      </c>
      <c r="E39" s="34">
        <f t="shared" si="4"/>
        <v>484370.16835902497</v>
      </c>
      <c r="F39" s="107">
        <f t="shared" si="5"/>
        <v>-16812.8</v>
      </c>
      <c r="G39" s="47">
        <f t="shared" si="6"/>
        <v>1207.6018028811777</v>
      </c>
      <c r="H39" s="60">
        <f t="shared" si="7"/>
        <v>468764.97016190615</v>
      </c>
      <c r="J39" s="74">
        <f t="shared" si="0"/>
        <v>11</v>
      </c>
      <c r="K39" s="48">
        <f t="shared" si="8"/>
        <v>465557.44818833435</v>
      </c>
      <c r="L39" s="43">
        <f t="shared" si="1"/>
        <v>-17242.868451419788</v>
      </c>
      <c r="M39" s="75">
        <f t="shared" si="2"/>
        <v>448314.57973691454</v>
      </c>
      <c r="N39" s="32"/>
      <c r="O39" s="76">
        <f t="shared" si="9"/>
        <v>-184940.79999999996</v>
      </c>
      <c r="P39" s="39">
        <f t="shared" si="9"/>
        <v>15719.637459374211</v>
      </c>
      <c r="Q39" s="88">
        <f t="shared" si="10"/>
        <v>189671.55296561762</v>
      </c>
      <c r="R39" s="87"/>
    </row>
    <row r="40" spans="1:18" x14ac:dyDescent="0.45">
      <c r="A40" s="3">
        <v>16812.8</v>
      </c>
      <c r="B40" s="103">
        <f>A40/((1+$F$16)^($F$12-12))</f>
        <v>15649.999140633865</v>
      </c>
      <c r="C40" s="19">
        <f t="shared" si="11"/>
        <v>44635</v>
      </c>
      <c r="D40" s="26">
        <f t="shared" si="3"/>
        <v>12</v>
      </c>
      <c r="E40" s="34">
        <f t="shared" si="4"/>
        <v>468764.97016190615</v>
      </c>
      <c r="F40" s="107">
        <f t="shared" si="5"/>
        <v>-16812.8</v>
      </c>
      <c r="G40" s="47">
        <f t="shared" si="6"/>
        <v>1162.8008593661343</v>
      </c>
      <c r="H40" s="60">
        <f t="shared" si="7"/>
        <v>453114.9710212723</v>
      </c>
      <c r="J40" s="74">
        <f t="shared" si="0"/>
        <v>12</v>
      </c>
      <c r="K40" s="48">
        <f t="shared" si="8"/>
        <v>448314.57973691454</v>
      </c>
      <c r="L40" s="43">
        <f t="shared" si="1"/>
        <v>-17242.868451419788</v>
      </c>
      <c r="M40" s="75">
        <f t="shared" si="2"/>
        <v>431071.71128549473</v>
      </c>
      <c r="N40" s="32"/>
      <c r="O40" s="76">
        <f t="shared" si="9"/>
        <v>-201753.59999999995</v>
      </c>
      <c r="P40" s="39">
        <f t="shared" si="9"/>
        <v>16882.438318740344</v>
      </c>
      <c r="Q40" s="88">
        <f t="shared" si="10"/>
        <v>206914.4214170374</v>
      </c>
      <c r="R40" s="87"/>
    </row>
    <row r="41" spans="1:18" x14ac:dyDescent="0.45">
      <c r="A41" s="3">
        <v>19564.759999999998</v>
      </c>
      <c r="B41" s="103">
        <f>A41/((1+$F$16)^($F$12-13))</f>
        <v>18263.912810100592</v>
      </c>
      <c r="C41" s="19">
        <f t="shared" si="11"/>
        <v>44666</v>
      </c>
      <c r="D41" s="26">
        <f t="shared" si="3"/>
        <v>13</v>
      </c>
      <c r="E41" s="34">
        <f t="shared" si="4"/>
        <v>453114.9710212723</v>
      </c>
      <c r="F41" s="107">
        <f t="shared" si="5"/>
        <v>-19564.759999999998</v>
      </c>
      <c r="G41" s="47">
        <f t="shared" si="6"/>
        <v>1300.8471898994067</v>
      </c>
      <c r="H41" s="60">
        <f t="shared" si="7"/>
        <v>434851.05821117171</v>
      </c>
      <c r="J41" s="74">
        <f t="shared" si="0"/>
        <v>13</v>
      </c>
      <c r="K41" s="48">
        <f t="shared" si="8"/>
        <v>431071.71128549473</v>
      </c>
      <c r="L41" s="43">
        <f t="shared" ref="L41:L64" si="12">-$M$22/$F$12</f>
        <v>-17242.868451419788</v>
      </c>
      <c r="M41" s="75">
        <f t="shared" si="2"/>
        <v>413828.84283407492</v>
      </c>
      <c r="N41" s="32"/>
      <c r="O41" s="76">
        <f t="shared" si="9"/>
        <v>-221318.35999999996</v>
      </c>
      <c r="P41" s="39">
        <f t="shared" si="9"/>
        <v>18183.28550863975</v>
      </c>
      <c r="Q41" s="88">
        <f t="shared" si="10"/>
        <v>224157.28986845718</v>
      </c>
      <c r="R41" s="87"/>
    </row>
    <row r="42" spans="1:18" x14ac:dyDescent="0.45">
      <c r="A42" s="3">
        <v>19564.759999999998</v>
      </c>
      <c r="B42" s="103">
        <f>A42/((1+$F$16)^($F$12-14))</f>
        <v>18316.34665399243</v>
      </c>
      <c r="C42" s="19">
        <f t="shared" si="11"/>
        <v>44696</v>
      </c>
      <c r="D42" s="26">
        <f t="shared" si="3"/>
        <v>14</v>
      </c>
      <c r="E42" s="34">
        <f t="shared" si="4"/>
        <v>434851.05821117171</v>
      </c>
      <c r="F42" s="107">
        <f t="shared" si="5"/>
        <v>-19564.759999999998</v>
      </c>
      <c r="G42" s="47">
        <f t="shared" si="6"/>
        <v>1248.4133460075682</v>
      </c>
      <c r="H42" s="60">
        <f t="shared" si="7"/>
        <v>416534.71155717928</v>
      </c>
      <c r="J42" s="74">
        <f t="shared" si="0"/>
        <v>14</v>
      </c>
      <c r="K42" s="48">
        <f t="shared" si="8"/>
        <v>413828.84283407492</v>
      </c>
      <c r="L42" s="43">
        <f t="shared" si="12"/>
        <v>-17242.868451419788</v>
      </c>
      <c r="M42" s="75">
        <f t="shared" si="2"/>
        <v>396585.97438265511</v>
      </c>
      <c r="N42" s="32"/>
      <c r="O42" s="76">
        <f t="shared" si="9"/>
        <v>-240883.11999999997</v>
      </c>
      <c r="P42" s="39">
        <f t="shared" si="9"/>
        <v>19431.698854647319</v>
      </c>
      <c r="Q42" s="88">
        <f t="shared" si="10"/>
        <v>241400.15831987697</v>
      </c>
      <c r="R42" s="87"/>
    </row>
    <row r="43" spans="1:18" x14ac:dyDescent="0.45">
      <c r="A43" s="3">
        <v>19564.759999999998</v>
      </c>
      <c r="B43" s="103">
        <f>A43/((1+$F$16)^($F$12-15))</f>
        <v>18368.931030139542</v>
      </c>
      <c r="C43" s="19">
        <f t="shared" si="11"/>
        <v>44727</v>
      </c>
      <c r="D43" s="26">
        <f t="shared" si="3"/>
        <v>15</v>
      </c>
      <c r="E43" s="34">
        <f t="shared" si="4"/>
        <v>416534.71155717928</v>
      </c>
      <c r="F43" s="107">
        <f t="shared" si="5"/>
        <v>-19564.759999999998</v>
      </c>
      <c r="G43" s="47">
        <f t="shared" si="6"/>
        <v>1195.8289698604567</v>
      </c>
      <c r="H43" s="60">
        <f t="shared" si="7"/>
        <v>398165.78052703972</v>
      </c>
      <c r="J43" s="74">
        <f t="shared" si="0"/>
        <v>15</v>
      </c>
      <c r="K43" s="48">
        <f t="shared" si="8"/>
        <v>396585.97438265511</v>
      </c>
      <c r="L43" s="43">
        <f t="shared" si="12"/>
        <v>-17242.868451419788</v>
      </c>
      <c r="M43" s="75">
        <f t="shared" si="2"/>
        <v>379343.1059312353</v>
      </c>
      <c r="N43" s="32"/>
      <c r="O43" s="76">
        <f t="shared" si="9"/>
        <v>-260447.87999999998</v>
      </c>
      <c r="P43" s="39">
        <f t="shared" si="9"/>
        <v>20627.527824507775</v>
      </c>
      <c r="Q43" s="88">
        <f t="shared" si="10"/>
        <v>258643.02677129675</v>
      </c>
      <c r="R43" s="87"/>
    </row>
    <row r="44" spans="1:18" x14ac:dyDescent="0.45">
      <c r="A44" s="3">
        <v>19564.759999999998</v>
      </c>
      <c r="B44" s="103">
        <f>A44/((1+$F$16)^($F$12-16))</f>
        <v>18421.666370704781</v>
      </c>
      <c r="C44" s="19">
        <f t="shared" si="11"/>
        <v>44757</v>
      </c>
      <c r="D44" s="26">
        <f t="shared" si="3"/>
        <v>16</v>
      </c>
      <c r="E44" s="34">
        <f t="shared" si="4"/>
        <v>398165.78052703972</v>
      </c>
      <c r="F44" s="107">
        <f t="shared" si="5"/>
        <v>-19564.759999999998</v>
      </c>
      <c r="G44" s="47">
        <f t="shared" si="6"/>
        <v>1143.0936292952174</v>
      </c>
      <c r="H44" s="60">
        <f t="shared" si="7"/>
        <v>379744.11415633495</v>
      </c>
      <c r="J44" s="74">
        <f t="shared" si="0"/>
        <v>16</v>
      </c>
      <c r="K44" s="48">
        <f t="shared" si="8"/>
        <v>379343.1059312353</v>
      </c>
      <c r="L44" s="43">
        <f t="shared" si="12"/>
        <v>-17242.868451419788</v>
      </c>
      <c r="M44" s="75">
        <f t="shared" si="2"/>
        <v>362100.23747981549</v>
      </c>
      <c r="N44" s="32"/>
      <c r="O44" s="76">
        <f t="shared" si="9"/>
        <v>-280012.63999999996</v>
      </c>
      <c r="P44" s="39">
        <f t="shared" si="9"/>
        <v>21770.621453802993</v>
      </c>
      <c r="Q44" s="88">
        <f t="shared" si="10"/>
        <v>275885.89522271656</v>
      </c>
      <c r="R44" s="87"/>
    </row>
    <row r="45" spans="1:18" x14ac:dyDescent="0.45">
      <c r="A45" s="3">
        <v>19564.759999999998</v>
      </c>
      <c r="B45" s="103">
        <f>A45/((1+$F$16)^($F$12-17))</f>
        <v>18474.553109091692</v>
      </c>
      <c r="C45" s="19">
        <f t="shared" si="11"/>
        <v>44788</v>
      </c>
      <c r="D45" s="26">
        <f t="shared" si="3"/>
        <v>17</v>
      </c>
      <c r="E45" s="34">
        <f t="shared" si="4"/>
        <v>379744.11415633495</v>
      </c>
      <c r="F45" s="107">
        <f t="shared" si="5"/>
        <v>-19564.759999999998</v>
      </c>
      <c r="G45" s="47">
        <f t="shared" si="6"/>
        <v>1090.2068909083064</v>
      </c>
      <c r="H45" s="60">
        <f t="shared" si="7"/>
        <v>361269.56104724325</v>
      </c>
      <c r="J45" s="74">
        <f t="shared" si="0"/>
        <v>17</v>
      </c>
      <c r="K45" s="48">
        <f t="shared" si="8"/>
        <v>362100.23747981549</v>
      </c>
      <c r="L45" s="43">
        <f t="shared" si="12"/>
        <v>-17242.868451419788</v>
      </c>
      <c r="M45" s="75">
        <f t="shared" si="2"/>
        <v>344857.36902839568</v>
      </c>
      <c r="N45" s="32"/>
      <c r="O45" s="76">
        <f t="shared" si="9"/>
        <v>-299577.39999999997</v>
      </c>
      <c r="P45" s="39">
        <f t="shared" si="9"/>
        <v>22860.828344711299</v>
      </c>
      <c r="Q45" s="88">
        <f t="shared" si="10"/>
        <v>293128.76367413637</v>
      </c>
      <c r="R45" s="87"/>
    </row>
    <row r="46" spans="1:18" x14ac:dyDescent="0.45">
      <c r="A46" s="3">
        <v>19564.759999999998</v>
      </c>
      <c r="B46" s="103">
        <f>A46/((1+$F$16)^($F$12-18))</f>
        <v>18527.591679948095</v>
      </c>
      <c r="C46" s="19">
        <f t="shared" si="11"/>
        <v>44819</v>
      </c>
      <c r="D46" s="26">
        <f t="shared" si="3"/>
        <v>18</v>
      </c>
      <c r="E46" s="34">
        <f t="shared" si="4"/>
        <v>361269.56104724325</v>
      </c>
      <c r="F46" s="107">
        <f t="shared" si="5"/>
        <v>-19564.759999999998</v>
      </c>
      <c r="G46" s="47">
        <f t="shared" si="6"/>
        <v>1037.1683200519037</v>
      </c>
      <c r="H46" s="60">
        <f t="shared" si="7"/>
        <v>342741.96936729515</v>
      </c>
      <c r="J46" s="74">
        <f t="shared" si="0"/>
        <v>18</v>
      </c>
      <c r="K46" s="48">
        <f t="shared" si="8"/>
        <v>344857.36902839568</v>
      </c>
      <c r="L46" s="43">
        <f t="shared" si="12"/>
        <v>-17242.868451419788</v>
      </c>
      <c r="M46" s="75">
        <f t="shared" si="2"/>
        <v>327614.50057697587</v>
      </c>
      <c r="N46" s="32"/>
      <c r="O46" s="76">
        <f t="shared" ref="O46:P61" si="13">+O45+F46</f>
        <v>-319142.15999999997</v>
      </c>
      <c r="P46" s="39">
        <f t="shared" si="13"/>
        <v>23897.996664763203</v>
      </c>
      <c r="Q46" s="88">
        <f t="shared" si="10"/>
        <v>310371.63212555618</v>
      </c>
      <c r="R46" s="87"/>
    </row>
    <row r="47" spans="1:18" x14ac:dyDescent="0.45">
      <c r="A47" s="3">
        <v>19564.759999999998</v>
      </c>
      <c r="B47" s="103">
        <f>A47/((1+$F$16)^($F$12-19))</f>
        <v>18580.782519169636</v>
      </c>
      <c r="C47" s="19">
        <f t="shared" si="11"/>
        <v>44849</v>
      </c>
      <c r="D47" s="26">
        <f t="shared" si="3"/>
        <v>19</v>
      </c>
      <c r="E47" s="34">
        <f t="shared" si="4"/>
        <v>342741.96936729515</v>
      </c>
      <c r="F47" s="107">
        <f t="shared" si="5"/>
        <v>-19564.759999999998</v>
      </c>
      <c r="G47" s="47">
        <f t="shared" si="6"/>
        <v>983.97748083036277</v>
      </c>
      <c r="H47" s="60">
        <f t="shared" si="7"/>
        <v>324161.18684812554</v>
      </c>
      <c r="J47" s="74">
        <f t="shared" si="0"/>
        <v>19</v>
      </c>
      <c r="K47" s="48">
        <f t="shared" si="8"/>
        <v>327614.50057697587</v>
      </c>
      <c r="L47" s="43">
        <f t="shared" si="12"/>
        <v>-17242.868451419788</v>
      </c>
      <c r="M47" s="75">
        <f t="shared" si="2"/>
        <v>310371.63212555606</v>
      </c>
      <c r="N47" s="32"/>
      <c r="O47" s="76">
        <f t="shared" si="13"/>
        <v>-338706.92</v>
      </c>
      <c r="P47" s="39">
        <f t="shared" si="13"/>
        <v>24881.974145593565</v>
      </c>
      <c r="Q47" s="88">
        <f t="shared" si="10"/>
        <v>327614.50057697599</v>
      </c>
      <c r="R47" s="87"/>
    </row>
    <row r="48" spans="1:18" x14ac:dyDescent="0.45">
      <c r="A48" s="3">
        <v>19564.759999999998</v>
      </c>
      <c r="B48" s="103">
        <f>A48/((1+$F$16)^($F$12-20))</f>
        <v>18634.126063903357</v>
      </c>
      <c r="C48" s="19">
        <f t="shared" si="11"/>
        <v>44880</v>
      </c>
      <c r="D48" s="26">
        <f t="shared" si="3"/>
        <v>20</v>
      </c>
      <c r="E48" s="34">
        <f t="shared" si="4"/>
        <v>324161.18684812554</v>
      </c>
      <c r="F48" s="107">
        <f t="shared" si="5"/>
        <v>-19564.759999999998</v>
      </c>
      <c r="G48" s="47">
        <f t="shared" si="6"/>
        <v>930.63393609664126</v>
      </c>
      <c r="H48" s="60">
        <f t="shared" si="7"/>
        <v>305527.06078422215</v>
      </c>
      <c r="J48" s="74">
        <f t="shared" si="0"/>
        <v>20</v>
      </c>
      <c r="K48" s="48">
        <f t="shared" si="8"/>
        <v>310371.63212555606</v>
      </c>
      <c r="L48" s="43">
        <f t="shared" si="12"/>
        <v>-17242.868451419788</v>
      </c>
      <c r="M48" s="75">
        <f t="shared" si="2"/>
        <v>293128.76367413625</v>
      </c>
      <c r="N48" s="32"/>
      <c r="O48" s="76">
        <f t="shared" si="13"/>
        <v>-358271.68</v>
      </c>
      <c r="P48" s="39">
        <f t="shared" si="13"/>
        <v>25812.608081690207</v>
      </c>
      <c r="Q48" s="88">
        <f t="shared" si="10"/>
        <v>344857.3690283958</v>
      </c>
      <c r="R48" s="87"/>
    </row>
    <row r="49" spans="1:18" x14ac:dyDescent="0.45">
      <c r="A49" s="3">
        <v>19564.759999999998</v>
      </c>
      <c r="B49" s="103">
        <f>A49/((1+$F$16)^($F$12-21))</f>
        <v>18687.622752551331</v>
      </c>
      <c r="C49" s="19">
        <f t="shared" si="11"/>
        <v>44910</v>
      </c>
      <c r="D49" s="26">
        <f t="shared" si="3"/>
        <v>21</v>
      </c>
      <c r="E49" s="34">
        <f t="shared" si="4"/>
        <v>305527.06078422215</v>
      </c>
      <c r="F49" s="107">
        <f t="shared" si="5"/>
        <v>-19564.759999999998</v>
      </c>
      <c r="G49" s="47">
        <f t="shared" si="6"/>
        <v>877.13724744866704</v>
      </c>
      <c r="H49" s="60">
        <f t="shared" si="7"/>
        <v>286839.43803167081</v>
      </c>
      <c r="J49" s="74">
        <f t="shared" si="0"/>
        <v>21</v>
      </c>
      <c r="K49" s="48">
        <f t="shared" si="8"/>
        <v>293128.76367413625</v>
      </c>
      <c r="L49" s="43">
        <f t="shared" si="12"/>
        <v>-17242.868451419788</v>
      </c>
      <c r="M49" s="75">
        <f t="shared" si="2"/>
        <v>275885.89522271644</v>
      </c>
      <c r="N49" s="80"/>
      <c r="O49" s="76">
        <f t="shared" si="13"/>
        <v>-377836.44</v>
      </c>
      <c r="P49" s="39">
        <f t="shared" si="13"/>
        <v>26689.745329138874</v>
      </c>
      <c r="Q49" s="88">
        <f t="shared" si="10"/>
        <v>362100.23747981561</v>
      </c>
      <c r="R49" s="87"/>
    </row>
    <row r="50" spans="1:18" x14ac:dyDescent="0.45">
      <c r="A50" s="3">
        <v>19564.759999999998</v>
      </c>
      <c r="B50" s="103">
        <f>A50/((1+$F$16)^($F$12-22))</f>
        <v>18741.273024774215</v>
      </c>
      <c r="C50" s="19">
        <f t="shared" si="11"/>
        <v>44941</v>
      </c>
      <c r="D50" s="26">
        <f t="shared" si="3"/>
        <v>22</v>
      </c>
      <c r="E50" s="34">
        <f t="shared" si="4"/>
        <v>286839.43803167081</v>
      </c>
      <c r="F50" s="107">
        <f t="shared" si="5"/>
        <v>-19564.759999999998</v>
      </c>
      <c r="G50" s="47">
        <f t="shared" si="6"/>
        <v>823.48697522578368</v>
      </c>
      <c r="H50" s="60">
        <f t="shared" si="7"/>
        <v>268098.1650068966</v>
      </c>
      <c r="J50" s="74">
        <f t="shared" si="0"/>
        <v>22</v>
      </c>
      <c r="K50" s="48">
        <f t="shared" si="8"/>
        <v>275885.89522271644</v>
      </c>
      <c r="L50" s="43">
        <f t="shared" si="12"/>
        <v>-17242.868451419788</v>
      </c>
      <c r="M50" s="75">
        <f t="shared" si="2"/>
        <v>258643.02677129666</v>
      </c>
      <c r="N50" s="32"/>
      <c r="O50" s="76">
        <f t="shared" si="13"/>
        <v>-397401.2</v>
      </c>
      <c r="P50" s="39">
        <f t="shared" si="13"/>
        <v>27513.232304364657</v>
      </c>
      <c r="Q50" s="88">
        <f t="shared" si="10"/>
        <v>379343.10593123542</v>
      </c>
      <c r="R50" s="32"/>
    </row>
    <row r="51" spans="1:18" x14ac:dyDescent="0.45">
      <c r="A51" s="3">
        <v>19564.759999999998</v>
      </c>
      <c r="B51" s="103">
        <f>A51/((1+$F$16)^($F$12-23))</f>
        <v>18795.077321494904</v>
      </c>
      <c r="C51" s="19">
        <f t="shared" si="11"/>
        <v>44972</v>
      </c>
      <c r="D51" s="26">
        <f t="shared" si="3"/>
        <v>23</v>
      </c>
      <c r="E51" s="34">
        <f t="shared" si="4"/>
        <v>268098.1650068966</v>
      </c>
      <c r="F51" s="107">
        <f t="shared" si="5"/>
        <v>-19564.759999999998</v>
      </c>
      <c r="G51" s="47">
        <f t="shared" si="6"/>
        <v>769.68267850509437</v>
      </c>
      <c r="H51" s="60">
        <f t="shared" si="7"/>
        <v>249303.08768540167</v>
      </c>
      <c r="J51" s="74">
        <f t="shared" si="0"/>
        <v>23</v>
      </c>
      <c r="K51" s="48">
        <f t="shared" si="8"/>
        <v>258643.02677129666</v>
      </c>
      <c r="L51" s="43">
        <f t="shared" si="12"/>
        <v>-17242.868451419788</v>
      </c>
      <c r="M51" s="75">
        <f t="shared" si="2"/>
        <v>241400.15831987688</v>
      </c>
      <c r="N51" s="32"/>
      <c r="O51" s="76">
        <f t="shared" si="13"/>
        <v>-416965.96</v>
      </c>
      <c r="P51" s="39">
        <f t="shared" si="13"/>
        <v>28282.914982869752</v>
      </c>
      <c r="Q51" s="88">
        <f t="shared" si="10"/>
        <v>396585.97438265523</v>
      </c>
      <c r="R51" s="32"/>
    </row>
    <row r="52" spans="1:18" x14ac:dyDescent="0.45">
      <c r="A52" s="3">
        <v>19564.759999999998</v>
      </c>
      <c r="B52" s="103">
        <f>A52/((1+$F$16)^($F$12-24))</f>
        <v>18849.036084902134</v>
      </c>
      <c r="C52" s="19">
        <f t="shared" si="11"/>
        <v>45000</v>
      </c>
      <c r="D52" s="26">
        <f t="shared" si="3"/>
        <v>24</v>
      </c>
      <c r="E52" s="34">
        <f t="shared" si="4"/>
        <v>249303.08768540167</v>
      </c>
      <c r="F52" s="107">
        <f t="shared" si="5"/>
        <v>-19564.759999999998</v>
      </c>
      <c r="G52" s="47">
        <f t="shared" si="6"/>
        <v>715.72391509786394</v>
      </c>
      <c r="H52" s="60">
        <f t="shared" si="7"/>
        <v>230454.05160049952</v>
      </c>
      <c r="J52" s="74">
        <f t="shared" si="0"/>
        <v>24</v>
      </c>
      <c r="K52" s="48">
        <f t="shared" si="8"/>
        <v>241400.15831987688</v>
      </c>
      <c r="L52" s="43">
        <f t="shared" si="12"/>
        <v>-17242.868451419788</v>
      </c>
      <c r="M52" s="75">
        <f t="shared" si="2"/>
        <v>224157.2898684571</v>
      </c>
      <c r="N52" s="32"/>
      <c r="O52" s="76">
        <f t="shared" si="13"/>
        <v>-436530.72000000003</v>
      </c>
      <c r="P52" s="39">
        <f t="shared" si="13"/>
        <v>28998.638897967616</v>
      </c>
      <c r="Q52" s="88">
        <f t="shared" si="10"/>
        <v>413828.84283407504</v>
      </c>
      <c r="R52" s="32"/>
    </row>
    <row r="53" spans="1:18" x14ac:dyDescent="0.45">
      <c r="A53" s="3">
        <v>19564.759999999998</v>
      </c>
      <c r="B53" s="103">
        <f>A53/((1+$F$16)^($F$12-25))</f>
        <v>18903.149758454107</v>
      </c>
      <c r="C53" s="19">
        <f t="shared" si="11"/>
        <v>45031</v>
      </c>
      <c r="D53" s="26">
        <f t="shared" si="3"/>
        <v>25</v>
      </c>
      <c r="E53" s="34">
        <f t="shared" si="4"/>
        <v>230454.05160049952</v>
      </c>
      <c r="F53" s="107">
        <f t="shared" si="5"/>
        <v>-19564.759999999998</v>
      </c>
      <c r="G53" s="47">
        <f t="shared" si="6"/>
        <v>661.61024154589177</v>
      </c>
      <c r="H53" s="60">
        <f t="shared" si="7"/>
        <v>211550.90184204539</v>
      </c>
      <c r="J53" s="74">
        <f t="shared" si="0"/>
        <v>25</v>
      </c>
      <c r="K53" s="48">
        <f t="shared" si="8"/>
        <v>224157.2898684571</v>
      </c>
      <c r="L53" s="43">
        <f t="shared" si="12"/>
        <v>-17242.868451419788</v>
      </c>
      <c r="M53" s="75">
        <f t="shared" si="2"/>
        <v>206914.42141703732</v>
      </c>
      <c r="N53" s="32"/>
      <c r="O53" s="76">
        <f t="shared" si="13"/>
        <v>-456095.48000000004</v>
      </c>
      <c r="P53" s="39">
        <f t="shared" si="13"/>
        <v>29660.249139513508</v>
      </c>
      <c r="Q53" s="88">
        <f t="shared" si="10"/>
        <v>431071.71128549485</v>
      </c>
      <c r="R53" s="32"/>
    </row>
    <row r="54" spans="1:18" x14ac:dyDescent="0.45">
      <c r="A54" s="3">
        <v>19564.759999999998</v>
      </c>
      <c r="B54" s="103">
        <f>A54/((1+$F$16)^($F$12-26))</f>
        <v>18957.418786882168</v>
      </c>
      <c r="C54" s="19">
        <f t="shared" si="11"/>
        <v>45061</v>
      </c>
      <c r="D54" s="26">
        <f t="shared" si="3"/>
        <v>26</v>
      </c>
      <c r="E54" s="34">
        <f t="shared" si="4"/>
        <v>211550.90184204539</v>
      </c>
      <c r="F54" s="107">
        <f t="shared" si="5"/>
        <v>-19564.759999999998</v>
      </c>
      <c r="G54" s="47">
        <f t="shared" si="6"/>
        <v>607.34121311783019</v>
      </c>
      <c r="H54" s="60">
        <f t="shared" si="7"/>
        <v>192593.4830551632</v>
      </c>
      <c r="J54" s="74">
        <f t="shared" si="0"/>
        <v>26</v>
      </c>
      <c r="K54" s="48">
        <f t="shared" si="8"/>
        <v>206914.42141703732</v>
      </c>
      <c r="L54" s="43">
        <f t="shared" si="12"/>
        <v>-17242.868451419788</v>
      </c>
      <c r="M54" s="75">
        <f t="shared" si="2"/>
        <v>189671.55296561753</v>
      </c>
      <c r="N54" s="32"/>
      <c r="O54" s="76">
        <f t="shared" si="13"/>
        <v>-475660.24000000005</v>
      </c>
      <c r="P54" s="39">
        <f t="shared" si="13"/>
        <v>30267.590352631338</v>
      </c>
      <c r="Q54" s="88">
        <f t="shared" si="10"/>
        <v>448314.57973691466</v>
      </c>
      <c r="R54" s="32"/>
    </row>
    <row r="55" spans="1:18" x14ac:dyDescent="0.45">
      <c r="A55" s="3">
        <v>19564.759999999998</v>
      </c>
      <c r="B55" s="103">
        <f>A55/((1+$F$16)^($F$12-27))</f>
        <v>19011.843616194426</v>
      </c>
      <c r="C55" s="19">
        <f t="shared" si="11"/>
        <v>45092</v>
      </c>
      <c r="D55" s="26">
        <f t="shared" si="3"/>
        <v>27</v>
      </c>
      <c r="E55" s="34">
        <f t="shared" si="4"/>
        <v>192593.4830551632</v>
      </c>
      <c r="F55" s="107">
        <f t="shared" si="5"/>
        <v>-19564.759999999998</v>
      </c>
      <c r="G55" s="47">
        <f t="shared" si="6"/>
        <v>552.91638380557197</v>
      </c>
      <c r="H55" s="60">
        <f t="shared" si="7"/>
        <v>173581.63943896876</v>
      </c>
      <c r="J55" s="74">
        <f t="shared" si="0"/>
        <v>27</v>
      </c>
      <c r="K55" s="48">
        <f t="shared" si="8"/>
        <v>189671.55296561753</v>
      </c>
      <c r="L55" s="43">
        <f t="shared" si="12"/>
        <v>-17242.868451419788</v>
      </c>
      <c r="M55" s="75">
        <f t="shared" si="2"/>
        <v>172428.68451419775</v>
      </c>
      <c r="N55" s="32"/>
      <c r="O55" s="76">
        <f t="shared" si="13"/>
        <v>-495225.00000000006</v>
      </c>
      <c r="P55" s="39">
        <f t="shared" si="13"/>
        <v>30820.50673643691</v>
      </c>
      <c r="Q55" s="88">
        <f t="shared" si="10"/>
        <v>465557.44818833447</v>
      </c>
      <c r="R55" s="32"/>
    </row>
    <row r="56" spans="1:18" x14ac:dyDescent="0.45">
      <c r="A56" s="3">
        <v>19564.759999999998</v>
      </c>
      <c r="B56" s="103">
        <f>A56/((1+$F$16)^($F$12-28))</f>
        <v>19066.424693679441</v>
      </c>
      <c r="C56" s="19">
        <f t="shared" si="11"/>
        <v>45122</v>
      </c>
      <c r="D56" s="26">
        <f t="shared" si="3"/>
        <v>28</v>
      </c>
      <c r="E56" s="34">
        <f t="shared" si="4"/>
        <v>173581.63943896876</v>
      </c>
      <c r="F56" s="107">
        <f t="shared" si="5"/>
        <v>-19564.759999999998</v>
      </c>
      <c r="G56" s="47">
        <f t="shared" si="6"/>
        <v>498.33530632055772</v>
      </c>
      <c r="H56" s="60">
        <f t="shared" si="7"/>
        <v>154515.2147452893</v>
      </c>
      <c r="J56" s="74">
        <f t="shared" si="0"/>
        <v>28</v>
      </c>
      <c r="K56" s="48">
        <f t="shared" si="8"/>
        <v>172428.68451419775</v>
      </c>
      <c r="L56" s="43">
        <f t="shared" si="12"/>
        <v>-17242.868451419788</v>
      </c>
      <c r="M56" s="75">
        <f t="shared" si="2"/>
        <v>155185.81606277797</v>
      </c>
      <c r="N56" s="32"/>
      <c r="O56" s="76">
        <f t="shared" si="13"/>
        <v>-514789.76000000007</v>
      </c>
      <c r="P56" s="39">
        <f t="shared" si="13"/>
        <v>31318.842042757467</v>
      </c>
      <c r="Q56" s="88">
        <f t="shared" si="10"/>
        <v>482800.31663975428</v>
      </c>
      <c r="R56" s="32"/>
    </row>
    <row r="57" spans="1:18" x14ac:dyDescent="0.45">
      <c r="A57" s="3">
        <v>19564.759999999998</v>
      </c>
      <c r="B57" s="103">
        <f>A57/((1+$F$16)^($F$12-29))</f>
        <v>19121.162467909897</v>
      </c>
      <c r="C57" s="19">
        <f t="shared" si="11"/>
        <v>45153</v>
      </c>
      <c r="D57" s="26">
        <f t="shared" si="3"/>
        <v>29</v>
      </c>
      <c r="E57" s="34">
        <f t="shared" si="4"/>
        <v>154515.2147452893</v>
      </c>
      <c r="F57" s="107">
        <f t="shared" si="5"/>
        <v>-19564.759999999998</v>
      </c>
      <c r="G57" s="47">
        <f t="shared" si="6"/>
        <v>443.59753209010159</v>
      </c>
      <c r="H57" s="60">
        <f t="shared" si="7"/>
        <v>135394.05227737938</v>
      </c>
      <c r="J57" s="74">
        <f t="shared" si="0"/>
        <v>29</v>
      </c>
      <c r="K57" s="48">
        <f t="shared" si="8"/>
        <v>155185.81606277797</v>
      </c>
      <c r="L57" s="43">
        <f t="shared" si="12"/>
        <v>-17242.868451419788</v>
      </c>
      <c r="M57" s="75">
        <f t="shared" si="2"/>
        <v>137942.94761135819</v>
      </c>
      <c r="N57" s="32"/>
      <c r="O57" s="76">
        <f t="shared" si="13"/>
        <v>-534354.52</v>
      </c>
      <c r="P57" s="39">
        <f t="shared" si="13"/>
        <v>31762.439574847569</v>
      </c>
      <c r="Q57" s="88">
        <f t="shared" si="10"/>
        <v>500043.18509117409</v>
      </c>
      <c r="R57" s="32"/>
    </row>
    <row r="58" spans="1:18" x14ac:dyDescent="0.45">
      <c r="A58" s="3">
        <v>19564.759999999998</v>
      </c>
      <c r="B58" s="103">
        <f>A58/((1+$F$16)^($F$12-30))</f>
        <v>19176.057388746274</v>
      </c>
      <c r="C58" s="19">
        <f t="shared" si="11"/>
        <v>45184</v>
      </c>
      <c r="D58" s="26">
        <f t="shared" si="3"/>
        <v>30</v>
      </c>
      <c r="E58" s="34">
        <f t="shared" si="4"/>
        <v>135394.05227737938</v>
      </c>
      <c r="F58" s="107">
        <f t="shared" si="5"/>
        <v>-19564.759999999998</v>
      </c>
      <c r="G58" s="47">
        <f t="shared" si="6"/>
        <v>388.70261125372417</v>
      </c>
      <c r="H58" s="60">
        <f t="shared" si="7"/>
        <v>116217.99488863311</v>
      </c>
      <c r="J58" s="74">
        <f t="shared" si="0"/>
        <v>30</v>
      </c>
      <c r="K58" s="48">
        <f t="shared" si="8"/>
        <v>137942.94761135819</v>
      </c>
      <c r="L58" s="43">
        <f t="shared" si="12"/>
        <v>-17242.868451419788</v>
      </c>
      <c r="M58" s="75">
        <f t="shared" si="2"/>
        <v>120700.07915993841</v>
      </c>
      <c r="N58" s="32"/>
      <c r="O58" s="76">
        <f t="shared" si="13"/>
        <v>-553919.28</v>
      </c>
      <c r="P58" s="39">
        <f t="shared" si="13"/>
        <v>32151.142186101293</v>
      </c>
      <c r="Q58" s="88">
        <f t="shared" si="10"/>
        <v>517286.0535425939</v>
      </c>
      <c r="R58" s="32"/>
    </row>
    <row r="59" spans="1:18" x14ac:dyDescent="0.45">
      <c r="A59" s="3">
        <v>19564.759999999998</v>
      </c>
      <c r="B59" s="103">
        <f>A59/((1+$F$16)^($F$12-31))</f>
        <v>19231.109907340568</v>
      </c>
      <c r="C59" s="19">
        <f t="shared" si="11"/>
        <v>45214</v>
      </c>
      <c r="D59" s="26">
        <f t="shared" si="3"/>
        <v>31</v>
      </c>
      <c r="E59" s="34">
        <f t="shared" si="4"/>
        <v>116217.99488863311</v>
      </c>
      <c r="F59" s="107">
        <f t="shared" si="5"/>
        <v>-19564.759999999998</v>
      </c>
      <c r="G59" s="47">
        <f t="shared" si="6"/>
        <v>333.65009265943081</v>
      </c>
      <c r="H59" s="60">
        <f t="shared" si="7"/>
        <v>96986.884981292547</v>
      </c>
      <c r="J59" s="74">
        <f t="shared" si="0"/>
        <v>31</v>
      </c>
      <c r="K59" s="48">
        <f t="shared" si="8"/>
        <v>120700.07915993841</v>
      </c>
      <c r="L59" s="43">
        <f t="shared" si="12"/>
        <v>-17242.868451419788</v>
      </c>
      <c r="M59" s="75">
        <f t="shared" si="2"/>
        <v>103457.21070851863</v>
      </c>
      <c r="N59" s="32"/>
      <c r="O59" s="76">
        <f t="shared" si="13"/>
        <v>-573484.04</v>
      </c>
      <c r="P59" s="39">
        <f t="shared" si="13"/>
        <v>32484.792278760724</v>
      </c>
      <c r="Q59" s="88">
        <f t="shared" si="10"/>
        <v>534528.92199401371</v>
      </c>
      <c r="R59" s="32"/>
    </row>
    <row r="60" spans="1:18" x14ac:dyDescent="0.45">
      <c r="A60" s="3">
        <v>19564.759999999998</v>
      </c>
      <c r="B60" s="103">
        <f>A60/((1+$F$16)^($F$12-32))</f>
        <v>19286.320476139972</v>
      </c>
      <c r="C60" s="19">
        <f t="shared" si="11"/>
        <v>45245</v>
      </c>
      <c r="D60" s="26">
        <f t="shared" si="3"/>
        <v>32</v>
      </c>
      <c r="E60" s="34">
        <f t="shared" si="4"/>
        <v>96986.884981292547</v>
      </c>
      <c r="F60" s="107">
        <f t="shared" si="5"/>
        <v>-19564.759999999998</v>
      </c>
      <c r="G60" s="47">
        <f t="shared" si="6"/>
        <v>278.43952386002638</v>
      </c>
      <c r="H60" s="60">
        <f t="shared" si="7"/>
        <v>77700.564505152579</v>
      </c>
      <c r="J60" s="74">
        <f t="shared" si="0"/>
        <v>32</v>
      </c>
      <c r="K60" s="48">
        <f t="shared" si="8"/>
        <v>103457.21070851863</v>
      </c>
      <c r="L60" s="43">
        <f t="shared" si="12"/>
        <v>-17242.868451419788</v>
      </c>
      <c r="M60" s="75">
        <f t="shared" si="2"/>
        <v>86214.342257098848</v>
      </c>
      <c r="N60" s="32"/>
      <c r="O60" s="76">
        <f t="shared" si="13"/>
        <v>-593048.80000000005</v>
      </c>
      <c r="P60" s="39">
        <f t="shared" si="13"/>
        <v>32763.23180262075</v>
      </c>
      <c r="Q60" s="88">
        <f t="shared" si="10"/>
        <v>551771.79044543346</v>
      </c>
      <c r="R60" s="32"/>
    </row>
    <row r="61" spans="1:18" x14ac:dyDescent="0.45">
      <c r="A61" s="3">
        <v>19564.759999999998</v>
      </c>
      <c r="B61" s="103">
        <f>A61/((1+$F$16)^($F$12-33))</f>
        <v>19341.689548890627</v>
      </c>
      <c r="C61" s="19">
        <f t="shared" si="11"/>
        <v>45275</v>
      </c>
      <c r="D61" s="26">
        <f t="shared" si="3"/>
        <v>33</v>
      </c>
      <c r="E61" s="34">
        <f t="shared" si="4"/>
        <v>77700.564505152579</v>
      </c>
      <c r="F61" s="107">
        <f t="shared" si="5"/>
        <v>-19564.759999999998</v>
      </c>
      <c r="G61" s="47">
        <f t="shared" si="6"/>
        <v>223.07045110937179</v>
      </c>
      <c r="H61" s="60">
        <f t="shared" si="7"/>
        <v>58358.874956261956</v>
      </c>
      <c r="J61" s="74">
        <f t="shared" si="0"/>
        <v>33</v>
      </c>
      <c r="K61" s="48">
        <f t="shared" si="8"/>
        <v>86214.342257098848</v>
      </c>
      <c r="L61" s="43">
        <f t="shared" si="12"/>
        <v>-17242.868451419788</v>
      </c>
      <c r="M61" s="75">
        <f t="shared" si="2"/>
        <v>68971.473805679067</v>
      </c>
      <c r="N61" s="32"/>
      <c r="O61" s="76">
        <f t="shared" si="13"/>
        <v>-612613.56000000006</v>
      </c>
      <c r="P61" s="39">
        <f t="shared" si="13"/>
        <v>32986.302253730122</v>
      </c>
      <c r="Q61" s="88">
        <f t="shared" si="10"/>
        <v>569014.65889685322</v>
      </c>
      <c r="R61" s="32"/>
    </row>
    <row r="62" spans="1:18" x14ac:dyDescent="0.45">
      <c r="A62" s="3">
        <v>19564.759999999998</v>
      </c>
      <c r="B62" s="103">
        <f>A62/((1+$F$16)^($F$12-34))</f>
        <v>19397.217580641311</v>
      </c>
      <c r="C62" s="19">
        <f t="shared" si="11"/>
        <v>45306</v>
      </c>
      <c r="D62" s="26">
        <f t="shared" si="3"/>
        <v>34</v>
      </c>
      <c r="E62" s="34">
        <f t="shared" si="4"/>
        <v>58358.874956261956</v>
      </c>
      <c r="F62" s="107">
        <f t="shared" si="5"/>
        <v>-19564.759999999998</v>
      </c>
      <c r="G62" s="47">
        <f t="shared" si="6"/>
        <v>167.54241935868777</v>
      </c>
      <c r="H62" s="60">
        <f t="shared" si="7"/>
        <v>38961.657375620642</v>
      </c>
      <c r="J62" s="74">
        <f t="shared" si="0"/>
        <v>34</v>
      </c>
      <c r="K62" s="48">
        <f t="shared" si="8"/>
        <v>68971.473805679067</v>
      </c>
      <c r="L62" s="43">
        <f t="shared" si="12"/>
        <v>-17242.868451419788</v>
      </c>
      <c r="M62" s="75">
        <f t="shared" si="2"/>
        <v>51728.605354259278</v>
      </c>
      <c r="N62" s="32"/>
      <c r="O62" s="76">
        <f t="shared" ref="O62:P64" si="14">+O61+F62</f>
        <v>-632178.32000000007</v>
      </c>
      <c r="P62" s="39">
        <f t="shared" si="14"/>
        <v>33153.84467308881</v>
      </c>
      <c r="Q62" s="88">
        <f t="shared" si="10"/>
        <v>586257.52734827297</v>
      </c>
      <c r="R62" s="32"/>
    </row>
    <row r="63" spans="1:18" x14ac:dyDescent="0.45">
      <c r="A63" s="3">
        <v>19564.759999999998</v>
      </c>
      <c r="B63" s="103">
        <f>A63/((1+$F$16)^($F$12-35))</f>
        <v>19452.905027747227</v>
      </c>
      <c r="C63" s="19">
        <f t="shared" si="11"/>
        <v>45337</v>
      </c>
      <c r="D63" s="26">
        <f t="shared" si="3"/>
        <v>35</v>
      </c>
      <c r="E63" s="34">
        <f t="shared" si="4"/>
        <v>38961.657375620642</v>
      </c>
      <c r="F63" s="107">
        <f t="shared" si="5"/>
        <v>-19564.759999999998</v>
      </c>
      <c r="G63" s="47">
        <f t="shared" si="6"/>
        <v>111.8549722527714</v>
      </c>
      <c r="H63" s="60">
        <f t="shared" si="7"/>
        <v>19508.752347873415</v>
      </c>
      <c r="J63" s="74">
        <f t="shared" si="0"/>
        <v>35</v>
      </c>
      <c r="K63" s="48">
        <f t="shared" si="8"/>
        <v>51728.605354259278</v>
      </c>
      <c r="L63" s="43">
        <f t="shared" si="12"/>
        <v>-17242.868451419788</v>
      </c>
      <c r="M63" s="75">
        <f t="shared" si="2"/>
        <v>34485.73690283949</v>
      </c>
      <c r="N63" s="32"/>
      <c r="O63" s="76">
        <f t="shared" si="14"/>
        <v>-651743.08000000007</v>
      </c>
      <c r="P63" s="39">
        <f t="shared" si="14"/>
        <v>33265.699645341578</v>
      </c>
      <c r="Q63" s="88">
        <f t="shared" si="10"/>
        <v>603500.39579969272</v>
      </c>
      <c r="R63" s="32"/>
    </row>
    <row r="64" spans="1:18" x14ac:dyDescent="0.45">
      <c r="A64" s="3">
        <v>19564.759999999998</v>
      </c>
      <c r="B64" s="103">
        <f>A64/((1+$F$16)^($F$12-36))</f>
        <v>19508.752347873706</v>
      </c>
      <c r="C64" s="19">
        <f t="shared" si="11"/>
        <v>45366</v>
      </c>
      <c r="D64" s="26">
        <f t="shared" si="3"/>
        <v>36</v>
      </c>
      <c r="E64" s="34">
        <f t="shared" si="4"/>
        <v>19508.752347873415</v>
      </c>
      <c r="F64" s="107">
        <f t="shared" si="5"/>
        <v>-19564.759999999998</v>
      </c>
      <c r="G64" s="47">
        <f t="shared" si="6"/>
        <v>56.007652126292669</v>
      </c>
      <c r="H64" s="60">
        <f t="shared" si="7"/>
        <v>-2.9103830456733704E-10</v>
      </c>
      <c r="J64" s="74">
        <f t="shared" si="0"/>
        <v>36</v>
      </c>
      <c r="K64" s="48">
        <f t="shared" si="8"/>
        <v>34485.73690283949</v>
      </c>
      <c r="L64" s="43">
        <f t="shared" si="12"/>
        <v>-17242.868451419788</v>
      </c>
      <c r="M64" s="75">
        <f t="shared" si="2"/>
        <v>17242.868451419701</v>
      </c>
      <c r="N64" s="32"/>
      <c r="O64" s="76">
        <f t="shared" si="14"/>
        <v>-671307.84000000008</v>
      </c>
      <c r="P64" s="39">
        <f t="shared" si="14"/>
        <v>33321.707297467874</v>
      </c>
      <c r="Q64" s="88">
        <f t="shared" si="10"/>
        <v>620743.26425111247</v>
      </c>
      <c r="R64" s="32"/>
    </row>
    <row r="65" spans="2:18" x14ac:dyDescent="0.45">
      <c r="B65" s="7"/>
      <c r="C65" s="19">
        <f t="shared" si="11"/>
        <v>45397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45427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45458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45488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45519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45550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45580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45611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45641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45672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45703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45731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45762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45792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45823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45853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45884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45915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45945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45976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46006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46037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46068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46096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46127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46157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46188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46218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46249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46280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5">DATE(YEAR(C94),MONTH(C94)+1,DAY(C94))</f>
        <v>46310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5"/>
        <v>46341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5"/>
        <v>46371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5"/>
        <v>46402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5"/>
        <v>46433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5"/>
        <v>46461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5"/>
        <v>46492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5"/>
        <v>46522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5"/>
        <v>46553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5"/>
        <v>46583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5"/>
        <v>46614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5"/>
        <v>46645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5"/>
        <v>46675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-671307.84000000008</v>
      </c>
      <c r="G110" s="43">
        <f>SUM(G29:G107)</f>
        <v>33321.707297467874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637986.13270253211</v>
      </c>
      <c r="G116" s="119">
        <f>INDEX(M:M,MATCH(DATE(2021,12,DAY(D10)),C:C))</f>
        <v>482800.31663975416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-138055.43883912684</v>
      </c>
      <c r="G119" s="113">
        <f ca="1">IFERROR(SUM(INDIRECT("F"&amp;MATCH(DATE(2022,1,DAY(D10)),C:C)):INDIRECT("G"&amp;MATCH(DATE(2022,1,DAY(D10)),C:C)+11)),VALUE("0"))</f>
        <v>-213091.25583173428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-499930.69386340532</v>
      </c>
      <c r="G123" s="113">
        <f ca="1">IFERROR(SUM(INDIRECT("F"&amp;MATCH(DATE(2023,1,DAY(D10)),C:C)):G107),VALUE("0"))</f>
        <v>-286839.43803167104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-226521.24000000002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-293471.40000000002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25284-34C2-4333-BA43-9231D0D333C7}">
  <dimension ref="A1:R130"/>
  <sheetViews>
    <sheetView topLeftCell="A106" zoomScale="85" zoomScaleNormal="85" workbookViewId="0">
      <selection activeCell="F116" sqref="F116"/>
    </sheetView>
  </sheetViews>
  <sheetFormatPr defaultRowHeight="14.25" x14ac:dyDescent="0.45"/>
  <cols>
    <col min="1" max="1" width="12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131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44352</v>
      </c>
      <c r="E10" s="12">
        <f>VLOOKUP($C$2,'Lease Summary'!D:H,4,FALSE)</f>
        <v>45447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30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511585.58199730742</v>
      </c>
      <c r="J22" s="17" t="s">
        <v>234</v>
      </c>
      <c r="K22" s="22"/>
      <c r="L22" s="7"/>
      <c r="M22" s="65">
        <f>H22</f>
        <v>511585.58199730742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511585.58199730742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v>14208.49</v>
      </c>
      <c r="B29" s="103">
        <f>A29/((1+$F$16)^($F$12-1))</f>
        <v>12852.03518139456</v>
      </c>
      <c r="C29" s="19">
        <f>D10</f>
        <v>44352</v>
      </c>
      <c r="D29" s="27">
        <v>1</v>
      </c>
      <c r="E29" s="33">
        <f>A28</f>
        <v>511585.58199730742</v>
      </c>
      <c r="F29" s="106">
        <f>-A29</f>
        <v>-14208.49</v>
      </c>
      <c r="G29" s="46">
        <f>A29-B29</f>
        <v>1356.4548186054399</v>
      </c>
      <c r="H29" s="59">
        <f>SUM(E29:G29)</f>
        <v>498733.54681591288</v>
      </c>
      <c r="J29" s="69">
        <f t="shared" ref="J29:J64" si="0">D29</f>
        <v>1</v>
      </c>
      <c r="K29" s="70">
        <f>M22</f>
        <v>511585.58199730742</v>
      </c>
      <c r="L29" s="42">
        <f t="shared" ref="L29:L40" si="1">-$M$22/$F$12</f>
        <v>-14210.710611036317</v>
      </c>
      <c r="M29" s="71">
        <f t="shared" ref="M29:M64" si="2">K29+L29</f>
        <v>497374.87138627109</v>
      </c>
      <c r="N29" s="32"/>
      <c r="O29" s="72">
        <f>+F29</f>
        <v>-14208.49</v>
      </c>
      <c r="P29" s="73">
        <f>+G29</f>
        <v>1356.4548186054399</v>
      </c>
      <c r="Q29" s="71">
        <f>-L29</f>
        <v>14210.710611036317</v>
      </c>
      <c r="R29" s="85"/>
    </row>
    <row r="30" spans="1:18" x14ac:dyDescent="0.45">
      <c r="A30" s="3">
        <v>14208.49</v>
      </c>
      <c r="B30" s="103">
        <f>A30/((1+$F$16)^($F$12-2))</f>
        <v>12888.932072734355</v>
      </c>
      <c r="C30" s="19">
        <f>DATE(YEAR(C29),MONTH(C29)+1,DAY(C29))</f>
        <v>44382</v>
      </c>
      <c r="D30" s="26">
        <f t="shared" ref="D30:D64" si="3">D29+1</f>
        <v>2</v>
      </c>
      <c r="E30" s="34">
        <f t="shared" ref="E30:E64" si="4">H29</f>
        <v>498733.54681591288</v>
      </c>
      <c r="F30" s="107">
        <f t="shared" ref="F30:F64" si="5">-A30</f>
        <v>-14208.49</v>
      </c>
      <c r="G30" s="47">
        <f t="shared" ref="G30:G64" si="6">A30-B30</f>
        <v>1319.557927265645</v>
      </c>
      <c r="H30" s="60">
        <f t="shared" ref="H30:H64" si="7">SUM(E30:G30)</f>
        <v>485844.61474317854</v>
      </c>
      <c r="J30" s="74">
        <f t="shared" si="0"/>
        <v>2</v>
      </c>
      <c r="K30" s="48">
        <f t="shared" ref="K30:K64" si="8">M29</f>
        <v>497374.87138627109</v>
      </c>
      <c r="L30" s="43">
        <f t="shared" si="1"/>
        <v>-14210.710611036317</v>
      </c>
      <c r="M30" s="75">
        <f t="shared" si="2"/>
        <v>483164.16077523475</v>
      </c>
      <c r="N30" s="32"/>
      <c r="O30" s="76">
        <f t="shared" ref="O30:P45" si="9">+O29+F30</f>
        <v>-28416.98</v>
      </c>
      <c r="P30" s="77">
        <f t="shared" si="9"/>
        <v>2676.0127458710849</v>
      </c>
      <c r="Q30" s="75">
        <f t="shared" ref="Q30:Q64" si="10">+Q29-L30</f>
        <v>28421.421222072633</v>
      </c>
      <c r="R30" s="86"/>
    </row>
    <row r="31" spans="1:18" x14ac:dyDescent="0.45">
      <c r="A31" s="3">
        <v>14208.49</v>
      </c>
      <c r="B31" s="103">
        <f>A31/((1+$F$16)^($F$12-3))</f>
        <v>12925.934891312234</v>
      </c>
      <c r="C31" s="19">
        <f t="shared" ref="C31:C94" si="11">DATE(YEAR(C30),MONTH(C30)+1,DAY(C30))</f>
        <v>44413</v>
      </c>
      <c r="D31" s="26">
        <f t="shared" si="3"/>
        <v>3</v>
      </c>
      <c r="E31" s="34">
        <f t="shared" si="4"/>
        <v>485844.61474317854</v>
      </c>
      <c r="F31" s="107">
        <f t="shared" si="5"/>
        <v>-14208.49</v>
      </c>
      <c r="G31" s="47">
        <f t="shared" si="6"/>
        <v>1282.5551086877658</v>
      </c>
      <c r="H31" s="60">
        <f t="shared" si="7"/>
        <v>472918.67985186633</v>
      </c>
      <c r="J31" s="74">
        <f t="shared" si="0"/>
        <v>3</v>
      </c>
      <c r="K31" s="48">
        <f t="shared" si="8"/>
        <v>483164.16077523475</v>
      </c>
      <c r="L31" s="43">
        <f t="shared" si="1"/>
        <v>-14210.710611036317</v>
      </c>
      <c r="M31" s="75">
        <f t="shared" si="2"/>
        <v>468953.45016419841</v>
      </c>
      <c r="N31" s="32"/>
      <c r="O31" s="76">
        <f t="shared" si="9"/>
        <v>-42625.47</v>
      </c>
      <c r="P31" s="39">
        <f t="shared" si="9"/>
        <v>3958.5678545588507</v>
      </c>
      <c r="Q31" s="88">
        <f t="shared" si="10"/>
        <v>42632.13183310895</v>
      </c>
      <c r="R31" s="86"/>
    </row>
    <row r="32" spans="1:18" x14ac:dyDescent="0.45">
      <c r="A32" s="3">
        <v>14208.49</v>
      </c>
      <c r="B32" s="103">
        <f>A32/((1+$F$16)^($F$12-4))</f>
        <v>12963.04394123457</v>
      </c>
      <c r="C32" s="19">
        <f t="shared" si="11"/>
        <v>44444</v>
      </c>
      <c r="D32" s="26">
        <f t="shared" si="3"/>
        <v>4</v>
      </c>
      <c r="E32" s="34">
        <f t="shared" si="4"/>
        <v>472918.67985186633</v>
      </c>
      <c r="F32" s="107">
        <f t="shared" si="5"/>
        <v>-14208.49</v>
      </c>
      <c r="G32" s="47">
        <f t="shared" si="6"/>
        <v>1245.4460587654303</v>
      </c>
      <c r="H32" s="60">
        <f t="shared" si="7"/>
        <v>459955.63591063174</v>
      </c>
      <c r="J32" s="74">
        <f t="shared" si="0"/>
        <v>4</v>
      </c>
      <c r="K32" s="48">
        <f t="shared" si="8"/>
        <v>468953.45016419841</v>
      </c>
      <c r="L32" s="43">
        <f t="shared" si="1"/>
        <v>-14210.710611036317</v>
      </c>
      <c r="M32" s="75">
        <f t="shared" si="2"/>
        <v>454742.73955316207</v>
      </c>
      <c r="N32" s="32"/>
      <c r="O32" s="76">
        <f t="shared" si="9"/>
        <v>-56833.96</v>
      </c>
      <c r="P32" s="39">
        <f t="shared" si="9"/>
        <v>5204.013913324281</v>
      </c>
      <c r="Q32" s="88">
        <f t="shared" si="10"/>
        <v>56842.842444145266</v>
      </c>
      <c r="R32" s="86"/>
    </row>
    <row r="33" spans="1:18" x14ac:dyDescent="0.45">
      <c r="A33" s="3">
        <v>14208.49</v>
      </c>
      <c r="B33" s="103">
        <f>A33/((1+$F$16)^($F$12-5))</f>
        <v>13000.259527480792</v>
      </c>
      <c r="C33" s="19">
        <f t="shared" si="11"/>
        <v>44474</v>
      </c>
      <c r="D33" s="26">
        <f t="shared" si="3"/>
        <v>5</v>
      </c>
      <c r="E33" s="34">
        <f t="shared" si="4"/>
        <v>459955.63591063174</v>
      </c>
      <c r="F33" s="107">
        <f t="shared" si="5"/>
        <v>-14208.49</v>
      </c>
      <c r="G33" s="47">
        <f t="shared" si="6"/>
        <v>1208.230472519208</v>
      </c>
      <c r="H33" s="60">
        <f t="shared" si="7"/>
        <v>446955.37638315093</v>
      </c>
      <c r="J33" s="74">
        <f t="shared" si="0"/>
        <v>5</v>
      </c>
      <c r="K33" s="48">
        <f t="shared" si="8"/>
        <v>454742.73955316207</v>
      </c>
      <c r="L33" s="43">
        <f t="shared" si="1"/>
        <v>-14210.710611036317</v>
      </c>
      <c r="M33" s="75">
        <f t="shared" si="2"/>
        <v>440532.02894212573</v>
      </c>
      <c r="N33" s="32"/>
      <c r="O33" s="76">
        <f t="shared" si="9"/>
        <v>-71042.45</v>
      </c>
      <c r="P33" s="39">
        <f t="shared" si="9"/>
        <v>6412.244385843489</v>
      </c>
      <c r="Q33" s="88">
        <f t="shared" si="10"/>
        <v>71053.553055181575</v>
      </c>
      <c r="R33" s="86"/>
    </row>
    <row r="34" spans="1:18" x14ac:dyDescent="0.45">
      <c r="A34" s="3">
        <v>14208.49</v>
      </c>
      <c r="B34" s="103">
        <f>A34/((1+$F$16)^($F$12-6))</f>
        <v>13037.581955905902</v>
      </c>
      <c r="C34" s="19">
        <f t="shared" si="11"/>
        <v>44505</v>
      </c>
      <c r="D34" s="26">
        <f t="shared" si="3"/>
        <v>6</v>
      </c>
      <c r="E34" s="34">
        <f t="shared" si="4"/>
        <v>446955.37638315093</v>
      </c>
      <c r="F34" s="107">
        <f t="shared" si="5"/>
        <v>-14208.49</v>
      </c>
      <c r="G34" s="47">
        <f t="shared" si="6"/>
        <v>1170.9080440940979</v>
      </c>
      <c r="H34" s="60">
        <f t="shared" si="7"/>
        <v>433917.79442724504</v>
      </c>
      <c r="J34" s="74">
        <f t="shared" si="0"/>
        <v>6</v>
      </c>
      <c r="K34" s="48">
        <f t="shared" si="8"/>
        <v>440532.02894212573</v>
      </c>
      <c r="L34" s="43">
        <f t="shared" si="1"/>
        <v>-14210.710611036317</v>
      </c>
      <c r="M34" s="75">
        <f t="shared" si="2"/>
        <v>426321.31833108939</v>
      </c>
      <c r="N34" s="32"/>
      <c r="O34" s="76">
        <f t="shared" si="9"/>
        <v>-85250.94</v>
      </c>
      <c r="P34" s="39">
        <f t="shared" si="9"/>
        <v>7583.1524299375869</v>
      </c>
      <c r="Q34" s="88">
        <f t="shared" si="10"/>
        <v>85264.263666217885</v>
      </c>
      <c r="R34" s="86"/>
    </row>
    <row r="35" spans="1:18" x14ac:dyDescent="0.45">
      <c r="A35" s="3">
        <v>14208.49</v>
      </c>
      <c r="B35" s="103">
        <f>A35/((1+$F$16)^($F$12-7))</f>
        <v>13075.01153324297</v>
      </c>
      <c r="C35" s="19">
        <f t="shared" si="11"/>
        <v>44535</v>
      </c>
      <c r="D35" s="26">
        <f t="shared" si="3"/>
        <v>7</v>
      </c>
      <c r="E35" s="34">
        <f t="shared" si="4"/>
        <v>433917.79442724504</v>
      </c>
      <c r="F35" s="107">
        <f t="shared" si="5"/>
        <v>-14208.49</v>
      </c>
      <c r="G35" s="47">
        <f t="shared" si="6"/>
        <v>1133.4784667570293</v>
      </c>
      <c r="H35" s="60">
        <f t="shared" si="7"/>
        <v>420842.7828940021</v>
      </c>
      <c r="J35" s="74">
        <f t="shared" si="0"/>
        <v>7</v>
      </c>
      <c r="K35" s="48">
        <f t="shared" si="8"/>
        <v>426321.31833108939</v>
      </c>
      <c r="L35" s="43">
        <f t="shared" si="1"/>
        <v>-14210.710611036317</v>
      </c>
      <c r="M35" s="75">
        <f t="shared" si="2"/>
        <v>412110.60772005306</v>
      </c>
      <c r="N35" s="32"/>
      <c r="O35" s="76">
        <f t="shared" si="9"/>
        <v>-99459.430000000008</v>
      </c>
      <c r="P35" s="39">
        <f t="shared" si="9"/>
        <v>8716.6308966946162</v>
      </c>
      <c r="Q35" s="88">
        <f t="shared" si="10"/>
        <v>99474.974277254194</v>
      </c>
      <c r="R35" s="86"/>
    </row>
    <row r="36" spans="1:18" x14ac:dyDescent="0.45">
      <c r="A36" s="3">
        <v>14208.49</v>
      </c>
      <c r="B36" s="103">
        <f>A36/((1+$F$16)^($F$12-8))</f>
        <v>13112.548567105665</v>
      </c>
      <c r="C36" s="19">
        <f t="shared" si="11"/>
        <v>44566</v>
      </c>
      <c r="D36" s="26">
        <f t="shared" si="3"/>
        <v>8</v>
      </c>
      <c r="E36" s="34">
        <f t="shared" si="4"/>
        <v>420842.7828940021</v>
      </c>
      <c r="F36" s="107">
        <f t="shared" si="5"/>
        <v>-14208.49</v>
      </c>
      <c r="G36" s="47">
        <f t="shared" si="6"/>
        <v>1095.9414328943349</v>
      </c>
      <c r="H36" s="60">
        <f t="shared" si="7"/>
        <v>407730.23432689643</v>
      </c>
      <c r="J36" s="74">
        <f t="shared" si="0"/>
        <v>8</v>
      </c>
      <c r="K36" s="48">
        <f t="shared" si="8"/>
        <v>412110.60772005306</v>
      </c>
      <c r="L36" s="43">
        <f t="shared" si="1"/>
        <v>-14210.710611036317</v>
      </c>
      <c r="M36" s="75">
        <f t="shared" si="2"/>
        <v>397899.89710901672</v>
      </c>
      <c r="N36" s="32"/>
      <c r="O36" s="76">
        <f t="shared" si="9"/>
        <v>-113667.92000000001</v>
      </c>
      <c r="P36" s="39">
        <f t="shared" si="9"/>
        <v>9812.5723295889511</v>
      </c>
      <c r="Q36" s="88">
        <f t="shared" si="10"/>
        <v>113685.6848882905</v>
      </c>
      <c r="R36" s="86"/>
    </row>
    <row r="37" spans="1:18" x14ac:dyDescent="0.45">
      <c r="A37" s="3">
        <v>14208.49</v>
      </c>
      <c r="B37" s="103">
        <f>A37/((1+$F$16)^($F$12-9))</f>
        <v>13150.193365990801</v>
      </c>
      <c r="C37" s="19">
        <f t="shared" si="11"/>
        <v>44597</v>
      </c>
      <c r="D37" s="26">
        <f t="shared" si="3"/>
        <v>9</v>
      </c>
      <c r="E37" s="34">
        <f t="shared" si="4"/>
        <v>407730.23432689643</v>
      </c>
      <c r="F37" s="107">
        <f t="shared" si="5"/>
        <v>-14208.49</v>
      </c>
      <c r="G37" s="47">
        <f t="shared" si="6"/>
        <v>1058.2966340091989</v>
      </c>
      <c r="H37" s="60">
        <f t="shared" si="7"/>
        <v>394580.04096090567</v>
      </c>
      <c r="J37" s="74">
        <f t="shared" si="0"/>
        <v>9</v>
      </c>
      <c r="K37" s="48">
        <f t="shared" si="8"/>
        <v>397899.89710901672</v>
      </c>
      <c r="L37" s="43">
        <f t="shared" si="1"/>
        <v>-14210.710611036317</v>
      </c>
      <c r="M37" s="75">
        <f t="shared" si="2"/>
        <v>383689.18649798038</v>
      </c>
      <c r="N37" s="32"/>
      <c r="O37" s="76">
        <f t="shared" si="9"/>
        <v>-127876.41000000002</v>
      </c>
      <c r="P37" s="39">
        <f t="shared" si="9"/>
        <v>10870.86896359815</v>
      </c>
      <c r="Q37" s="88">
        <f t="shared" si="10"/>
        <v>127896.39549932681</v>
      </c>
      <c r="R37" s="86"/>
    </row>
    <row r="38" spans="1:18" x14ac:dyDescent="0.45">
      <c r="A38" s="3">
        <v>14208.49</v>
      </c>
      <c r="B38" s="103">
        <f>A38/((1+$F$16)^($F$12-10))</f>
        <v>13187.946239280835</v>
      </c>
      <c r="C38" s="19">
        <f t="shared" si="11"/>
        <v>44625</v>
      </c>
      <c r="D38" s="26">
        <f t="shared" si="3"/>
        <v>10</v>
      </c>
      <c r="E38" s="34">
        <f t="shared" si="4"/>
        <v>394580.04096090567</v>
      </c>
      <c r="F38" s="107">
        <f t="shared" si="5"/>
        <v>-14208.49</v>
      </c>
      <c r="G38" s="47">
        <f t="shared" si="6"/>
        <v>1020.5437607191652</v>
      </c>
      <c r="H38" s="60">
        <f t="shared" si="7"/>
        <v>381392.09472162486</v>
      </c>
      <c r="J38" s="74">
        <f t="shared" si="0"/>
        <v>10</v>
      </c>
      <c r="K38" s="48">
        <f t="shared" si="8"/>
        <v>383689.18649798038</v>
      </c>
      <c r="L38" s="43">
        <f t="shared" si="1"/>
        <v>-14210.710611036317</v>
      </c>
      <c r="M38" s="75">
        <f t="shared" si="2"/>
        <v>369478.47588694404</v>
      </c>
      <c r="N38" s="32"/>
      <c r="O38" s="76">
        <f t="shared" si="9"/>
        <v>-142084.90000000002</v>
      </c>
      <c r="P38" s="39">
        <f t="shared" si="9"/>
        <v>11891.412724317315</v>
      </c>
      <c r="Q38" s="88">
        <f t="shared" si="10"/>
        <v>142107.10611036312</v>
      </c>
      <c r="R38" s="87"/>
    </row>
    <row r="39" spans="1:18" x14ac:dyDescent="0.45">
      <c r="A39" s="3">
        <v>14208.49</v>
      </c>
      <c r="B39" s="103">
        <f>A39/((1+$F$16)^($F$12-11))</f>
        <v>13225.807497246436</v>
      </c>
      <c r="C39" s="19">
        <f t="shared" si="11"/>
        <v>44656</v>
      </c>
      <c r="D39" s="26">
        <f t="shared" si="3"/>
        <v>11</v>
      </c>
      <c r="E39" s="34">
        <f t="shared" si="4"/>
        <v>381392.09472162486</v>
      </c>
      <c r="F39" s="107">
        <f t="shared" si="5"/>
        <v>-14208.49</v>
      </c>
      <c r="G39" s="47">
        <f t="shared" si="6"/>
        <v>982.68250275356331</v>
      </c>
      <c r="H39" s="60">
        <f t="shared" si="7"/>
        <v>368166.28722437844</v>
      </c>
      <c r="J39" s="74">
        <f t="shared" si="0"/>
        <v>11</v>
      </c>
      <c r="K39" s="48">
        <f t="shared" si="8"/>
        <v>369478.47588694404</v>
      </c>
      <c r="L39" s="43">
        <f t="shared" si="1"/>
        <v>-14210.710611036317</v>
      </c>
      <c r="M39" s="75">
        <f t="shared" si="2"/>
        <v>355267.7652759077</v>
      </c>
      <c r="N39" s="32"/>
      <c r="O39" s="76">
        <f t="shared" si="9"/>
        <v>-156293.39000000001</v>
      </c>
      <c r="P39" s="39">
        <f t="shared" si="9"/>
        <v>12874.095227070879</v>
      </c>
      <c r="Q39" s="88">
        <f t="shared" si="10"/>
        <v>156317.81672139943</v>
      </c>
      <c r="R39" s="87"/>
    </row>
    <row r="40" spans="1:18" x14ac:dyDescent="0.45">
      <c r="A40" s="3">
        <v>14208.49</v>
      </c>
      <c r="B40" s="103">
        <f>A40/((1+$F$16)^($F$12-12))</f>
        <v>13263.777451049036</v>
      </c>
      <c r="C40" s="19">
        <f t="shared" si="11"/>
        <v>44686</v>
      </c>
      <c r="D40" s="26">
        <f t="shared" si="3"/>
        <v>12</v>
      </c>
      <c r="E40" s="34">
        <f t="shared" si="4"/>
        <v>368166.28722437844</v>
      </c>
      <c r="F40" s="107">
        <f t="shared" si="5"/>
        <v>-14208.49</v>
      </c>
      <c r="G40" s="47">
        <f t="shared" si="6"/>
        <v>944.71254895096354</v>
      </c>
      <c r="H40" s="60">
        <f t="shared" si="7"/>
        <v>354902.50977332942</v>
      </c>
      <c r="J40" s="74">
        <f t="shared" si="0"/>
        <v>12</v>
      </c>
      <c r="K40" s="48">
        <f t="shared" si="8"/>
        <v>355267.7652759077</v>
      </c>
      <c r="L40" s="43">
        <f t="shared" si="1"/>
        <v>-14210.710611036317</v>
      </c>
      <c r="M40" s="75">
        <f t="shared" si="2"/>
        <v>341057.05466487136</v>
      </c>
      <c r="N40" s="32"/>
      <c r="O40" s="76">
        <f t="shared" si="9"/>
        <v>-170501.88</v>
      </c>
      <c r="P40" s="39">
        <f t="shared" si="9"/>
        <v>13818.807776021842</v>
      </c>
      <c r="Q40" s="88">
        <f t="shared" si="10"/>
        <v>170528.52733243574</v>
      </c>
      <c r="R40" s="87"/>
    </row>
    <row r="41" spans="1:18" x14ac:dyDescent="0.45">
      <c r="A41" s="3">
        <v>14918.92</v>
      </c>
      <c r="B41" s="103">
        <f>A41/((1+$F$16)^($F$12-13))</f>
        <v>13966.954382429469</v>
      </c>
      <c r="C41" s="19">
        <f t="shared" si="11"/>
        <v>44717</v>
      </c>
      <c r="D41" s="26">
        <f t="shared" si="3"/>
        <v>13</v>
      </c>
      <c r="E41" s="34">
        <f t="shared" si="4"/>
        <v>354902.50977332942</v>
      </c>
      <c r="F41" s="107">
        <f t="shared" si="5"/>
        <v>-14918.92</v>
      </c>
      <c r="G41" s="47">
        <f t="shared" si="6"/>
        <v>951.96561757053132</v>
      </c>
      <c r="H41" s="60">
        <f t="shared" si="7"/>
        <v>340935.5553909</v>
      </c>
      <c r="J41" s="74">
        <f t="shared" si="0"/>
        <v>13</v>
      </c>
      <c r="K41" s="48">
        <f t="shared" si="8"/>
        <v>341057.05466487136</v>
      </c>
      <c r="L41" s="43">
        <f t="shared" ref="L41:L64" si="12">-$M$22/$F$12</f>
        <v>-14210.710611036317</v>
      </c>
      <c r="M41" s="75">
        <f t="shared" si="2"/>
        <v>326846.34405383503</v>
      </c>
      <c r="N41" s="32"/>
      <c r="O41" s="76">
        <f t="shared" si="9"/>
        <v>-185420.80000000002</v>
      </c>
      <c r="P41" s="39">
        <f t="shared" si="9"/>
        <v>14770.773393592373</v>
      </c>
      <c r="Q41" s="88">
        <f t="shared" si="10"/>
        <v>184739.23794347205</v>
      </c>
      <c r="R41" s="87"/>
    </row>
    <row r="42" spans="1:18" x14ac:dyDescent="0.45">
      <c r="A42" s="3">
        <v>14918.92</v>
      </c>
      <c r="B42" s="103">
        <f>A42/((1+$F$16)^($F$12-14))</f>
        <v>14007.052093875389</v>
      </c>
      <c r="C42" s="19">
        <f t="shared" si="11"/>
        <v>44747</v>
      </c>
      <c r="D42" s="26">
        <f t="shared" si="3"/>
        <v>14</v>
      </c>
      <c r="E42" s="34">
        <f t="shared" si="4"/>
        <v>340935.5553909</v>
      </c>
      <c r="F42" s="107">
        <f t="shared" si="5"/>
        <v>-14918.92</v>
      </c>
      <c r="G42" s="47">
        <f t="shared" si="6"/>
        <v>911.86790612461118</v>
      </c>
      <c r="H42" s="60">
        <f t="shared" si="7"/>
        <v>326928.50329702464</v>
      </c>
      <c r="J42" s="74">
        <f t="shared" si="0"/>
        <v>14</v>
      </c>
      <c r="K42" s="48">
        <f t="shared" si="8"/>
        <v>326846.34405383503</v>
      </c>
      <c r="L42" s="43">
        <f t="shared" si="12"/>
        <v>-14210.710611036317</v>
      </c>
      <c r="M42" s="75">
        <f t="shared" si="2"/>
        <v>312635.63344279869</v>
      </c>
      <c r="N42" s="32"/>
      <c r="O42" s="76">
        <f t="shared" si="9"/>
        <v>-200339.72000000003</v>
      </c>
      <c r="P42" s="39">
        <f t="shared" si="9"/>
        <v>15682.641299716985</v>
      </c>
      <c r="Q42" s="88">
        <f t="shared" si="10"/>
        <v>198949.94855450836</v>
      </c>
      <c r="R42" s="87"/>
    </row>
    <row r="43" spans="1:18" x14ac:dyDescent="0.45">
      <c r="A43" s="3">
        <v>14918.92</v>
      </c>
      <c r="B43" s="103">
        <f>A43/((1+$F$16)^($F$12-15))</f>
        <v>14047.264921789736</v>
      </c>
      <c r="C43" s="19">
        <f t="shared" si="11"/>
        <v>44778</v>
      </c>
      <c r="D43" s="26">
        <f t="shared" si="3"/>
        <v>15</v>
      </c>
      <c r="E43" s="34">
        <f t="shared" si="4"/>
        <v>326928.50329702464</v>
      </c>
      <c r="F43" s="107">
        <f t="shared" si="5"/>
        <v>-14918.92</v>
      </c>
      <c r="G43" s="47">
        <f t="shared" si="6"/>
        <v>871.65507821026404</v>
      </c>
      <c r="H43" s="60">
        <f t="shared" si="7"/>
        <v>312881.23837523494</v>
      </c>
      <c r="J43" s="74">
        <f t="shared" si="0"/>
        <v>15</v>
      </c>
      <c r="K43" s="48">
        <f t="shared" si="8"/>
        <v>312635.63344279869</v>
      </c>
      <c r="L43" s="43">
        <f t="shared" si="12"/>
        <v>-14210.710611036317</v>
      </c>
      <c r="M43" s="75">
        <f t="shared" si="2"/>
        <v>298424.92283176235</v>
      </c>
      <c r="N43" s="32"/>
      <c r="O43" s="76">
        <f t="shared" si="9"/>
        <v>-215258.64000000004</v>
      </c>
      <c r="P43" s="39">
        <f t="shared" si="9"/>
        <v>16554.296377927247</v>
      </c>
      <c r="Q43" s="88">
        <f t="shared" si="10"/>
        <v>213160.65916554467</v>
      </c>
      <c r="R43" s="87"/>
    </row>
    <row r="44" spans="1:18" x14ac:dyDescent="0.45">
      <c r="A44" s="3">
        <v>14918.92</v>
      </c>
      <c r="B44" s="103">
        <f>A44/((1+$F$16)^($F$12-16))</f>
        <v>14087.593196660231</v>
      </c>
      <c r="C44" s="19">
        <f t="shared" si="11"/>
        <v>44809</v>
      </c>
      <c r="D44" s="26">
        <f t="shared" si="3"/>
        <v>16</v>
      </c>
      <c r="E44" s="34">
        <f t="shared" si="4"/>
        <v>312881.23837523494</v>
      </c>
      <c r="F44" s="107">
        <f t="shared" si="5"/>
        <v>-14918.92</v>
      </c>
      <c r="G44" s="47">
        <f t="shared" si="6"/>
        <v>831.32680333976896</v>
      </c>
      <c r="H44" s="60">
        <f t="shared" si="7"/>
        <v>298793.64517857472</v>
      </c>
      <c r="J44" s="74">
        <f t="shared" si="0"/>
        <v>16</v>
      </c>
      <c r="K44" s="48">
        <f t="shared" si="8"/>
        <v>298424.92283176235</v>
      </c>
      <c r="L44" s="43">
        <f t="shared" si="12"/>
        <v>-14210.710611036317</v>
      </c>
      <c r="M44" s="75">
        <f t="shared" si="2"/>
        <v>284214.21222072601</v>
      </c>
      <c r="N44" s="32"/>
      <c r="O44" s="76">
        <f t="shared" si="9"/>
        <v>-230177.56000000006</v>
      </c>
      <c r="P44" s="39">
        <f t="shared" si="9"/>
        <v>17385.623181267016</v>
      </c>
      <c r="Q44" s="88">
        <f t="shared" si="10"/>
        <v>227371.36977658098</v>
      </c>
      <c r="R44" s="87"/>
    </row>
    <row r="45" spans="1:18" x14ac:dyDescent="0.45">
      <c r="A45" s="3">
        <v>14918.92</v>
      </c>
      <c r="B45" s="103">
        <f>A45/((1+$F$16)^($F$12-17))</f>
        <v>14128.037249923396</v>
      </c>
      <c r="C45" s="19">
        <f t="shared" si="11"/>
        <v>44839</v>
      </c>
      <c r="D45" s="26">
        <f t="shared" si="3"/>
        <v>17</v>
      </c>
      <c r="E45" s="34">
        <f t="shared" si="4"/>
        <v>298793.64517857472</v>
      </c>
      <c r="F45" s="107">
        <f t="shared" si="5"/>
        <v>-14918.92</v>
      </c>
      <c r="G45" s="47">
        <f t="shared" si="6"/>
        <v>790.88275007660377</v>
      </c>
      <c r="H45" s="60">
        <f t="shared" si="7"/>
        <v>284665.60792865133</v>
      </c>
      <c r="J45" s="74">
        <f t="shared" si="0"/>
        <v>17</v>
      </c>
      <c r="K45" s="48">
        <f t="shared" si="8"/>
        <v>284214.21222072601</v>
      </c>
      <c r="L45" s="43">
        <f t="shared" si="12"/>
        <v>-14210.710611036317</v>
      </c>
      <c r="M45" s="75">
        <f t="shared" si="2"/>
        <v>270003.50160968967</v>
      </c>
      <c r="N45" s="32"/>
      <c r="O45" s="76">
        <f t="shared" si="9"/>
        <v>-245096.48000000007</v>
      </c>
      <c r="P45" s="39">
        <f t="shared" si="9"/>
        <v>18176.505931343621</v>
      </c>
      <c r="Q45" s="88">
        <f t="shared" si="10"/>
        <v>241582.08038761729</v>
      </c>
      <c r="R45" s="87"/>
    </row>
    <row r="46" spans="1:18" x14ac:dyDescent="0.45">
      <c r="A46" s="3">
        <v>14918.92</v>
      </c>
      <c r="B46" s="103">
        <f>A46/((1+$F$16)^($F$12-18))</f>
        <v>14168.597413967269</v>
      </c>
      <c r="C46" s="19">
        <f t="shared" si="11"/>
        <v>44870</v>
      </c>
      <c r="D46" s="26">
        <f t="shared" si="3"/>
        <v>18</v>
      </c>
      <c r="E46" s="34">
        <f t="shared" si="4"/>
        <v>284665.60792865133</v>
      </c>
      <c r="F46" s="107">
        <f t="shared" si="5"/>
        <v>-14918.92</v>
      </c>
      <c r="G46" s="47">
        <f t="shared" si="6"/>
        <v>750.32258603273112</v>
      </c>
      <c r="H46" s="60">
        <f t="shared" si="7"/>
        <v>270497.01051468408</v>
      </c>
      <c r="J46" s="74">
        <f t="shared" si="0"/>
        <v>18</v>
      </c>
      <c r="K46" s="48">
        <f t="shared" si="8"/>
        <v>270003.50160968967</v>
      </c>
      <c r="L46" s="43">
        <f t="shared" si="12"/>
        <v>-14210.710611036317</v>
      </c>
      <c r="M46" s="75">
        <f t="shared" si="2"/>
        <v>255792.79099865336</v>
      </c>
      <c r="N46" s="32"/>
      <c r="O46" s="76">
        <f t="shared" ref="O46:P61" si="13">+O45+F46</f>
        <v>-260015.40000000008</v>
      </c>
      <c r="P46" s="39">
        <f t="shared" si="13"/>
        <v>18926.828517376351</v>
      </c>
      <c r="Q46" s="88">
        <f t="shared" si="10"/>
        <v>255792.7909986536</v>
      </c>
      <c r="R46" s="87"/>
    </row>
    <row r="47" spans="1:18" x14ac:dyDescent="0.45">
      <c r="A47" s="3">
        <v>14918.92</v>
      </c>
      <c r="B47" s="103">
        <f>A47/((1+$F$16)^($F$12-19))</f>
        <v>14209.274022134137</v>
      </c>
      <c r="C47" s="19">
        <f t="shared" si="11"/>
        <v>44900</v>
      </c>
      <c r="D47" s="26">
        <f t="shared" si="3"/>
        <v>19</v>
      </c>
      <c r="E47" s="34">
        <f t="shared" si="4"/>
        <v>270497.01051468408</v>
      </c>
      <c r="F47" s="107">
        <f t="shared" si="5"/>
        <v>-14918.92</v>
      </c>
      <c r="G47" s="47">
        <f t="shared" si="6"/>
        <v>709.64597786586273</v>
      </c>
      <c r="H47" s="60">
        <f t="shared" si="7"/>
        <v>256287.73649254994</v>
      </c>
      <c r="J47" s="74">
        <f t="shared" si="0"/>
        <v>19</v>
      </c>
      <c r="K47" s="48">
        <f t="shared" si="8"/>
        <v>255792.79099865336</v>
      </c>
      <c r="L47" s="43">
        <f t="shared" si="12"/>
        <v>-14210.710611036317</v>
      </c>
      <c r="M47" s="75">
        <f t="shared" si="2"/>
        <v>241582.08038761705</v>
      </c>
      <c r="N47" s="32"/>
      <c r="O47" s="76">
        <f t="shared" si="13"/>
        <v>-274934.32000000007</v>
      </c>
      <c r="P47" s="39">
        <f t="shared" si="13"/>
        <v>19636.474495242212</v>
      </c>
      <c r="Q47" s="88">
        <f t="shared" si="10"/>
        <v>270003.50160968991</v>
      </c>
      <c r="R47" s="87"/>
    </row>
    <row r="48" spans="1:18" x14ac:dyDescent="0.45">
      <c r="A48" s="3">
        <v>14918.92</v>
      </c>
      <c r="B48" s="103">
        <f>A48/((1+$F$16)^($F$12-20))</f>
        <v>14250.067408723293</v>
      </c>
      <c r="C48" s="19">
        <f t="shared" si="11"/>
        <v>44931</v>
      </c>
      <c r="D48" s="26">
        <f t="shared" si="3"/>
        <v>20</v>
      </c>
      <c r="E48" s="34">
        <f t="shared" si="4"/>
        <v>256287.73649254994</v>
      </c>
      <c r="F48" s="107">
        <f t="shared" si="5"/>
        <v>-14918.92</v>
      </c>
      <c r="G48" s="47">
        <f t="shared" si="6"/>
        <v>668.85259127670724</v>
      </c>
      <c r="H48" s="60">
        <f t="shared" si="7"/>
        <v>242037.66908382665</v>
      </c>
      <c r="J48" s="74">
        <f t="shared" si="0"/>
        <v>20</v>
      </c>
      <c r="K48" s="48">
        <f t="shared" si="8"/>
        <v>241582.08038761705</v>
      </c>
      <c r="L48" s="43">
        <f t="shared" si="12"/>
        <v>-14210.710611036317</v>
      </c>
      <c r="M48" s="75">
        <f t="shared" si="2"/>
        <v>227371.36977658074</v>
      </c>
      <c r="N48" s="32"/>
      <c r="O48" s="76">
        <f t="shared" si="13"/>
        <v>-289853.24000000005</v>
      </c>
      <c r="P48" s="39">
        <f t="shared" si="13"/>
        <v>20305.327086518919</v>
      </c>
      <c r="Q48" s="88">
        <f t="shared" si="10"/>
        <v>284214.21222072624</v>
      </c>
      <c r="R48" s="87"/>
    </row>
    <row r="49" spans="1:18" x14ac:dyDescent="0.45">
      <c r="A49" s="3">
        <v>14918.92</v>
      </c>
      <c r="B49" s="103">
        <f>A49/((1+$F$16)^($F$12-21))</f>
        <v>14290.977908993749</v>
      </c>
      <c r="C49" s="19">
        <f t="shared" si="11"/>
        <v>44962</v>
      </c>
      <c r="D49" s="26">
        <f t="shared" si="3"/>
        <v>21</v>
      </c>
      <c r="E49" s="34">
        <f t="shared" si="4"/>
        <v>242037.66908382665</v>
      </c>
      <c r="F49" s="107">
        <f t="shared" si="5"/>
        <v>-14918.92</v>
      </c>
      <c r="G49" s="47">
        <f t="shared" si="6"/>
        <v>627.94209100625085</v>
      </c>
      <c r="H49" s="60">
        <f t="shared" si="7"/>
        <v>227746.6911748329</v>
      </c>
      <c r="J49" s="74">
        <f t="shared" si="0"/>
        <v>21</v>
      </c>
      <c r="K49" s="48">
        <f t="shared" si="8"/>
        <v>227371.36977658074</v>
      </c>
      <c r="L49" s="43">
        <f t="shared" si="12"/>
        <v>-14210.710611036317</v>
      </c>
      <c r="M49" s="75">
        <f t="shared" si="2"/>
        <v>213160.65916554444</v>
      </c>
      <c r="N49" s="80"/>
      <c r="O49" s="76">
        <f t="shared" si="13"/>
        <v>-304772.16000000003</v>
      </c>
      <c r="P49" s="39">
        <f t="shared" si="13"/>
        <v>20933.26917752517</v>
      </c>
      <c r="Q49" s="88">
        <f t="shared" si="10"/>
        <v>298424.92283176258</v>
      </c>
      <c r="R49" s="87"/>
    </row>
    <row r="50" spans="1:18" x14ac:dyDescent="0.45">
      <c r="A50" s="3">
        <v>14918.92</v>
      </c>
      <c r="B50" s="103">
        <f>A50/((1+$F$16)^($F$12-22))</f>
        <v>14332.005859167033</v>
      </c>
      <c r="C50" s="19">
        <f t="shared" si="11"/>
        <v>44990</v>
      </c>
      <c r="D50" s="26">
        <f t="shared" si="3"/>
        <v>22</v>
      </c>
      <c r="E50" s="34">
        <f t="shared" si="4"/>
        <v>227746.6911748329</v>
      </c>
      <c r="F50" s="107">
        <f t="shared" si="5"/>
        <v>-14918.92</v>
      </c>
      <c r="G50" s="47">
        <f t="shared" si="6"/>
        <v>586.91414083296695</v>
      </c>
      <c r="H50" s="60">
        <f t="shared" si="7"/>
        <v>213414.68531566585</v>
      </c>
      <c r="J50" s="74">
        <f t="shared" si="0"/>
        <v>22</v>
      </c>
      <c r="K50" s="48">
        <f t="shared" si="8"/>
        <v>213160.65916554444</v>
      </c>
      <c r="L50" s="43">
        <f t="shared" si="12"/>
        <v>-14210.710611036317</v>
      </c>
      <c r="M50" s="75">
        <f t="shared" si="2"/>
        <v>198949.94855450813</v>
      </c>
      <c r="N50" s="32"/>
      <c r="O50" s="76">
        <f t="shared" si="13"/>
        <v>-319691.08</v>
      </c>
      <c r="P50" s="39">
        <f t="shared" si="13"/>
        <v>21520.183318358137</v>
      </c>
      <c r="Q50" s="88">
        <f t="shared" si="10"/>
        <v>312635.63344279892</v>
      </c>
      <c r="R50" s="32"/>
    </row>
    <row r="51" spans="1:18" x14ac:dyDescent="0.45">
      <c r="A51" s="3">
        <v>14918.92</v>
      </c>
      <c r="B51" s="103">
        <f>A51/((1+$F$16)^($F$12-23))</f>
        <v>14373.151596429916</v>
      </c>
      <c r="C51" s="19">
        <f t="shared" si="11"/>
        <v>45021</v>
      </c>
      <c r="D51" s="26">
        <f t="shared" si="3"/>
        <v>23</v>
      </c>
      <c r="E51" s="34">
        <f t="shared" si="4"/>
        <v>213414.68531566585</v>
      </c>
      <c r="F51" s="107">
        <f t="shared" si="5"/>
        <v>-14918.92</v>
      </c>
      <c r="G51" s="47">
        <f t="shared" si="6"/>
        <v>545.76840357008405</v>
      </c>
      <c r="H51" s="60">
        <f t="shared" si="7"/>
        <v>199041.53371923591</v>
      </c>
      <c r="J51" s="74">
        <f t="shared" si="0"/>
        <v>23</v>
      </c>
      <c r="K51" s="48">
        <f t="shared" si="8"/>
        <v>198949.94855450813</v>
      </c>
      <c r="L51" s="43">
        <f t="shared" si="12"/>
        <v>-14210.710611036317</v>
      </c>
      <c r="M51" s="75">
        <f t="shared" si="2"/>
        <v>184739.23794347182</v>
      </c>
      <c r="N51" s="32"/>
      <c r="O51" s="76">
        <f t="shared" si="13"/>
        <v>-334610</v>
      </c>
      <c r="P51" s="39">
        <f t="shared" si="13"/>
        <v>22065.951721928221</v>
      </c>
      <c r="Q51" s="88">
        <f t="shared" si="10"/>
        <v>326846.34405383526</v>
      </c>
      <c r="R51" s="32"/>
    </row>
    <row r="52" spans="1:18" x14ac:dyDescent="0.45">
      <c r="A52" s="3">
        <v>14918.92</v>
      </c>
      <c r="B52" s="103">
        <f>A52/((1+$F$16)^($F$12-24))</f>
        <v>14414.415458937199</v>
      </c>
      <c r="C52" s="19">
        <f t="shared" si="11"/>
        <v>45051</v>
      </c>
      <c r="D52" s="26">
        <f t="shared" si="3"/>
        <v>24</v>
      </c>
      <c r="E52" s="34">
        <f t="shared" si="4"/>
        <v>199041.53371923591</v>
      </c>
      <c r="F52" s="107">
        <f t="shared" si="5"/>
        <v>-14918.92</v>
      </c>
      <c r="G52" s="47">
        <f t="shared" si="6"/>
        <v>504.50454106280085</v>
      </c>
      <c r="H52" s="60">
        <f t="shared" si="7"/>
        <v>184627.11826029871</v>
      </c>
      <c r="J52" s="74">
        <f t="shared" si="0"/>
        <v>24</v>
      </c>
      <c r="K52" s="48">
        <f t="shared" si="8"/>
        <v>184739.23794347182</v>
      </c>
      <c r="L52" s="43">
        <f t="shared" si="12"/>
        <v>-14210.710611036317</v>
      </c>
      <c r="M52" s="75">
        <f t="shared" si="2"/>
        <v>170528.52733243551</v>
      </c>
      <c r="N52" s="32"/>
      <c r="O52" s="76">
        <f t="shared" si="13"/>
        <v>-349528.92</v>
      </c>
      <c r="P52" s="39">
        <f t="shared" si="13"/>
        <v>22570.456262991022</v>
      </c>
      <c r="Q52" s="88">
        <f t="shared" si="10"/>
        <v>341057.0546648716</v>
      </c>
      <c r="R52" s="32"/>
    </row>
    <row r="53" spans="1:18" x14ac:dyDescent="0.45">
      <c r="A53" s="3">
        <v>15629.34</v>
      </c>
      <c r="B53" s="103">
        <f>A53/((1+$F$16)^($F$12-25))</f>
        <v>15144.164494865716</v>
      </c>
      <c r="C53" s="19">
        <f t="shared" si="11"/>
        <v>45082</v>
      </c>
      <c r="D53" s="26">
        <f t="shared" si="3"/>
        <v>25</v>
      </c>
      <c r="E53" s="34">
        <f t="shared" si="4"/>
        <v>184627.11826029871</v>
      </c>
      <c r="F53" s="107">
        <f t="shared" si="5"/>
        <v>-15629.34</v>
      </c>
      <c r="G53" s="47">
        <f t="shared" si="6"/>
        <v>485.17550513428432</v>
      </c>
      <c r="H53" s="60">
        <f t="shared" si="7"/>
        <v>169482.95376543299</v>
      </c>
      <c r="J53" s="74">
        <f t="shared" si="0"/>
        <v>25</v>
      </c>
      <c r="K53" s="48">
        <f t="shared" si="8"/>
        <v>170528.52733243551</v>
      </c>
      <c r="L53" s="43">
        <f t="shared" si="12"/>
        <v>-14210.710611036317</v>
      </c>
      <c r="M53" s="75">
        <f t="shared" si="2"/>
        <v>156317.8167213992</v>
      </c>
      <c r="N53" s="32"/>
      <c r="O53" s="76">
        <f t="shared" si="13"/>
        <v>-365158.26</v>
      </c>
      <c r="P53" s="39">
        <f t="shared" si="13"/>
        <v>23055.631768125306</v>
      </c>
      <c r="Q53" s="88">
        <f t="shared" si="10"/>
        <v>355267.76527590794</v>
      </c>
      <c r="R53" s="32"/>
    </row>
    <row r="54" spans="1:18" x14ac:dyDescent="0.45">
      <c r="A54" s="3">
        <v>15629.34</v>
      </c>
      <c r="B54" s="103">
        <f>A54/((1+$F$16)^($F$12-26))</f>
        <v>15187.64185731551</v>
      </c>
      <c r="C54" s="19">
        <f t="shared" si="11"/>
        <v>45112</v>
      </c>
      <c r="D54" s="26">
        <f t="shared" si="3"/>
        <v>26</v>
      </c>
      <c r="E54" s="34">
        <f t="shared" si="4"/>
        <v>169482.95376543299</v>
      </c>
      <c r="F54" s="107">
        <f t="shared" si="5"/>
        <v>-15629.34</v>
      </c>
      <c r="G54" s="47">
        <f t="shared" si="6"/>
        <v>441.69814268449045</v>
      </c>
      <c r="H54" s="60">
        <f t="shared" si="7"/>
        <v>154295.3119081175</v>
      </c>
      <c r="J54" s="74">
        <f t="shared" si="0"/>
        <v>26</v>
      </c>
      <c r="K54" s="48">
        <f t="shared" si="8"/>
        <v>156317.8167213992</v>
      </c>
      <c r="L54" s="43">
        <f t="shared" si="12"/>
        <v>-14210.710611036317</v>
      </c>
      <c r="M54" s="75">
        <f t="shared" si="2"/>
        <v>142107.10611036289</v>
      </c>
      <c r="N54" s="32"/>
      <c r="O54" s="76">
        <f t="shared" si="13"/>
        <v>-380787.60000000003</v>
      </c>
      <c r="P54" s="39">
        <f t="shared" si="13"/>
        <v>23497.329910809796</v>
      </c>
      <c r="Q54" s="88">
        <f t="shared" si="10"/>
        <v>369478.47588694427</v>
      </c>
      <c r="R54" s="32"/>
    </row>
    <row r="55" spans="1:18" x14ac:dyDescent="0.45">
      <c r="A55" s="3">
        <v>15629.34</v>
      </c>
      <c r="B55" s="103">
        <f>A55/((1+$F$16)^($F$12-27))</f>
        <v>15231.24403886947</v>
      </c>
      <c r="C55" s="19">
        <f t="shared" si="11"/>
        <v>45143</v>
      </c>
      <c r="D55" s="26">
        <f t="shared" si="3"/>
        <v>27</v>
      </c>
      <c r="E55" s="34">
        <f t="shared" si="4"/>
        <v>154295.3119081175</v>
      </c>
      <c r="F55" s="107">
        <f t="shared" si="5"/>
        <v>-15629.34</v>
      </c>
      <c r="G55" s="47">
        <f t="shared" si="6"/>
        <v>398.09596113052976</v>
      </c>
      <c r="H55" s="60">
        <f t="shared" si="7"/>
        <v>139064.06786924804</v>
      </c>
      <c r="J55" s="74">
        <f t="shared" si="0"/>
        <v>27</v>
      </c>
      <c r="K55" s="48">
        <f t="shared" si="8"/>
        <v>142107.10611036289</v>
      </c>
      <c r="L55" s="43">
        <f t="shared" si="12"/>
        <v>-14210.710611036317</v>
      </c>
      <c r="M55" s="75">
        <f t="shared" si="2"/>
        <v>127896.39549932658</v>
      </c>
      <c r="N55" s="32"/>
      <c r="O55" s="76">
        <f t="shared" si="13"/>
        <v>-396416.94000000006</v>
      </c>
      <c r="P55" s="39">
        <f t="shared" si="13"/>
        <v>23895.425871940326</v>
      </c>
      <c r="Q55" s="88">
        <f t="shared" si="10"/>
        <v>383689.18649798061</v>
      </c>
      <c r="R55" s="32"/>
    </row>
    <row r="56" spans="1:18" x14ac:dyDescent="0.45">
      <c r="A56" s="3">
        <v>15629.34</v>
      </c>
      <c r="B56" s="103">
        <f>A56/((1+$F$16)^($F$12-28))</f>
        <v>15274.971397870606</v>
      </c>
      <c r="C56" s="19">
        <f t="shared" si="11"/>
        <v>45174</v>
      </c>
      <c r="D56" s="26">
        <f t="shared" si="3"/>
        <v>28</v>
      </c>
      <c r="E56" s="34">
        <f t="shared" si="4"/>
        <v>139064.06786924804</v>
      </c>
      <c r="F56" s="107">
        <f t="shared" si="5"/>
        <v>-15629.34</v>
      </c>
      <c r="G56" s="47">
        <f t="shared" si="6"/>
        <v>354.36860212939428</v>
      </c>
      <c r="H56" s="60">
        <f t="shared" si="7"/>
        <v>123789.09647137744</v>
      </c>
      <c r="J56" s="74">
        <f t="shared" si="0"/>
        <v>28</v>
      </c>
      <c r="K56" s="48">
        <f t="shared" si="8"/>
        <v>127896.39549932658</v>
      </c>
      <c r="L56" s="43">
        <f t="shared" si="12"/>
        <v>-14210.710611036317</v>
      </c>
      <c r="M56" s="75">
        <f t="shared" si="2"/>
        <v>113685.68488829027</v>
      </c>
      <c r="N56" s="32"/>
      <c r="O56" s="76">
        <f t="shared" si="13"/>
        <v>-412046.28000000009</v>
      </c>
      <c r="P56" s="39">
        <f t="shared" si="13"/>
        <v>24249.79447406972</v>
      </c>
      <c r="Q56" s="88">
        <f t="shared" si="10"/>
        <v>397899.89710901695</v>
      </c>
      <c r="R56" s="32"/>
    </row>
    <row r="57" spans="1:18" x14ac:dyDescent="0.45">
      <c r="A57" s="3">
        <v>15629.34</v>
      </c>
      <c r="B57" s="103">
        <f>A57/((1+$F$16)^($F$12-29))</f>
        <v>15318.824293690683</v>
      </c>
      <c r="C57" s="19">
        <f t="shared" si="11"/>
        <v>45204</v>
      </c>
      <c r="D57" s="26">
        <f t="shared" si="3"/>
        <v>29</v>
      </c>
      <c r="E57" s="34">
        <f t="shared" si="4"/>
        <v>123789.09647137744</v>
      </c>
      <c r="F57" s="107">
        <f t="shared" si="5"/>
        <v>-15629.34</v>
      </c>
      <c r="G57" s="47">
        <f t="shared" si="6"/>
        <v>310.51570630931747</v>
      </c>
      <c r="H57" s="60">
        <f t="shared" si="7"/>
        <v>108470.27217768677</v>
      </c>
      <c r="J57" s="74">
        <f t="shared" si="0"/>
        <v>29</v>
      </c>
      <c r="K57" s="48">
        <f t="shared" si="8"/>
        <v>113685.68488829027</v>
      </c>
      <c r="L57" s="43">
        <f t="shared" si="12"/>
        <v>-14210.710611036317</v>
      </c>
      <c r="M57" s="75">
        <f t="shared" si="2"/>
        <v>99474.974277253961</v>
      </c>
      <c r="N57" s="32"/>
      <c r="O57" s="76">
        <f t="shared" si="13"/>
        <v>-427675.62000000011</v>
      </c>
      <c r="P57" s="39">
        <f t="shared" si="13"/>
        <v>24560.310180379038</v>
      </c>
      <c r="Q57" s="88">
        <f t="shared" si="10"/>
        <v>412110.60772005329</v>
      </c>
      <c r="R57" s="32"/>
    </row>
    <row r="58" spans="1:18" x14ac:dyDescent="0.45">
      <c r="A58" s="3">
        <v>15629.34</v>
      </c>
      <c r="B58" s="103">
        <f>A58/((1+$F$16)^($F$12-30))</f>
        <v>15362.8030867332</v>
      </c>
      <c r="C58" s="19">
        <f t="shared" si="11"/>
        <v>45235</v>
      </c>
      <c r="D58" s="26">
        <f t="shared" si="3"/>
        <v>30</v>
      </c>
      <c r="E58" s="34">
        <f t="shared" si="4"/>
        <v>108470.27217768677</v>
      </c>
      <c r="F58" s="107">
        <f t="shared" si="5"/>
        <v>-15629.34</v>
      </c>
      <c r="G58" s="47">
        <f t="shared" si="6"/>
        <v>266.53691326680018</v>
      </c>
      <c r="H58" s="60">
        <f t="shared" si="7"/>
        <v>93107.469090953571</v>
      </c>
      <c r="J58" s="74">
        <f t="shared" si="0"/>
        <v>30</v>
      </c>
      <c r="K58" s="48">
        <f t="shared" si="8"/>
        <v>99474.974277253961</v>
      </c>
      <c r="L58" s="43">
        <f t="shared" si="12"/>
        <v>-14210.710611036317</v>
      </c>
      <c r="M58" s="75">
        <f t="shared" si="2"/>
        <v>85264.263666217652</v>
      </c>
      <c r="N58" s="32"/>
      <c r="O58" s="76">
        <f t="shared" si="13"/>
        <v>-443304.96000000014</v>
      </c>
      <c r="P58" s="39">
        <f t="shared" si="13"/>
        <v>24826.84709364584</v>
      </c>
      <c r="Q58" s="88">
        <f t="shared" si="10"/>
        <v>426321.31833108963</v>
      </c>
      <c r="R58" s="32"/>
    </row>
    <row r="59" spans="1:18" x14ac:dyDescent="0.45">
      <c r="A59" s="3">
        <v>15629.34</v>
      </c>
      <c r="B59" s="103">
        <f>A59/((1+$F$16)^($F$12-31))</f>
        <v>15406.908138436329</v>
      </c>
      <c r="C59" s="19">
        <f t="shared" si="11"/>
        <v>45265</v>
      </c>
      <c r="D59" s="26">
        <f t="shared" si="3"/>
        <v>31</v>
      </c>
      <c r="E59" s="34">
        <f t="shared" si="4"/>
        <v>93107.469090953571</v>
      </c>
      <c r="F59" s="107">
        <f t="shared" si="5"/>
        <v>-15629.34</v>
      </c>
      <c r="G59" s="47">
        <f t="shared" si="6"/>
        <v>222.43186156367119</v>
      </c>
      <c r="H59" s="60">
        <f t="shared" si="7"/>
        <v>77700.560952517248</v>
      </c>
      <c r="J59" s="74">
        <f t="shared" si="0"/>
        <v>31</v>
      </c>
      <c r="K59" s="48">
        <f t="shared" si="8"/>
        <v>85264.263666217652</v>
      </c>
      <c r="L59" s="43">
        <f t="shared" si="12"/>
        <v>-14210.710611036317</v>
      </c>
      <c r="M59" s="75">
        <f t="shared" si="2"/>
        <v>71053.553055181343</v>
      </c>
      <c r="N59" s="32"/>
      <c r="O59" s="76">
        <f t="shared" si="13"/>
        <v>-458934.30000000016</v>
      </c>
      <c r="P59" s="39">
        <f t="shared" si="13"/>
        <v>25049.278955209513</v>
      </c>
      <c r="Q59" s="88">
        <f t="shared" si="10"/>
        <v>440532.02894212597</v>
      </c>
      <c r="R59" s="32"/>
    </row>
    <row r="60" spans="1:18" x14ac:dyDescent="0.45">
      <c r="A60" s="3">
        <v>15629.34</v>
      </c>
      <c r="B60" s="103">
        <f>A60/((1+$F$16)^($F$12-32))</f>
        <v>15451.139811275898</v>
      </c>
      <c r="C60" s="19">
        <f t="shared" si="11"/>
        <v>45296</v>
      </c>
      <c r="D60" s="26">
        <f t="shared" si="3"/>
        <v>32</v>
      </c>
      <c r="E60" s="34">
        <f t="shared" si="4"/>
        <v>77700.560952517248</v>
      </c>
      <c r="F60" s="107">
        <f t="shared" si="5"/>
        <v>-15629.34</v>
      </c>
      <c r="G60" s="47">
        <f t="shared" si="6"/>
        <v>178.20018872410219</v>
      </c>
      <c r="H60" s="60">
        <f t="shared" si="7"/>
        <v>62249.421141241357</v>
      </c>
      <c r="J60" s="74">
        <f t="shared" si="0"/>
        <v>32</v>
      </c>
      <c r="K60" s="48">
        <f t="shared" si="8"/>
        <v>71053.553055181343</v>
      </c>
      <c r="L60" s="43">
        <f t="shared" si="12"/>
        <v>-14210.710611036317</v>
      </c>
      <c r="M60" s="75">
        <f t="shared" si="2"/>
        <v>56842.842444145026</v>
      </c>
      <c r="N60" s="32"/>
      <c r="O60" s="76">
        <f t="shared" si="13"/>
        <v>-474563.64000000019</v>
      </c>
      <c r="P60" s="39">
        <f t="shared" si="13"/>
        <v>25227.479143933615</v>
      </c>
      <c r="Q60" s="88">
        <f t="shared" si="10"/>
        <v>454742.7395531623</v>
      </c>
      <c r="R60" s="32"/>
    </row>
    <row r="61" spans="1:18" x14ac:dyDescent="0.45">
      <c r="A61" s="3">
        <v>15629.34</v>
      </c>
      <c r="B61" s="103">
        <f>A61/((1+$F$16)^($F$12-33))</f>
        <v>15495.498468768363</v>
      </c>
      <c r="C61" s="19">
        <f t="shared" si="11"/>
        <v>45327</v>
      </c>
      <c r="D61" s="26">
        <f t="shared" si="3"/>
        <v>33</v>
      </c>
      <c r="E61" s="34">
        <f t="shared" si="4"/>
        <v>62249.421141241357</v>
      </c>
      <c r="F61" s="107">
        <f t="shared" si="5"/>
        <v>-15629.34</v>
      </c>
      <c r="G61" s="47">
        <f t="shared" si="6"/>
        <v>133.84153123163742</v>
      </c>
      <c r="H61" s="60">
        <f t="shared" si="7"/>
        <v>46753.922672472996</v>
      </c>
      <c r="J61" s="74">
        <f t="shared" si="0"/>
        <v>33</v>
      </c>
      <c r="K61" s="48">
        <f t="shared" si="8"/>
        <v>56842.842444145026</v>
      </c>
      <c r="L61" s="43">
        <f t="shared" si="12"/>
        <v>-14210.710611036317</v>
      </c>
      <c r="M61" s="75">
        <f t="shared" si="2"/>
        <v>42632.13183310871</v>
      </c>
      <c r="N61" s="32"/>
      <c r="O61" s="76">
        <f t="shared" si="13"/>
        <v>-490192.98000000021</v>
      </c>
      <c r="P61" s="39">
        <f t="shared" si="13"/>
        <v>25361.320675165254</v>
      </c>
      <c r="Q61" s="88">
        <f t="shared" si="10"/>
        <v>468953.45016419864</v>
      </c>
      <c r="R61" s="32"/>
    </row>
    <row r="62" spans="1:18" x14ac:dyDescent="0.45">
      <c r="A62" s="3">
        <v>15629.34</v>
      </c>
      <c r="B62" s="103">
        <f>A62/((1+$F$16)^($F$12-34))</f>
        <v>15539.984475473804</v>
      </c>
      <c r="C62" s="19">
        <f t="shared" si="11"/>
        <v>45356</v>
      </c>
      <c r="D62" s="26">
        <f t="shared" si="3"/>
        <v>34</v>
      </c>
      <c r="E62" s="34">
        <f t="shared" si="4"/>
        <v>46753.922672472996</v>
      </c>
      <c r="F62" s="107">
        <f t="shared" si="5"/>
        <v>-15629.34</v>
      </c>
      <c r="G62" s="47">
        <f t="shared" si="6"/>
        <v>89.35552452619595</v>
      </c>
      <c r="H62" s="60">
        <f t="shared" si="7"/>
        <v>31213.938196999192</v>
      </c>
      <c r="J62" s="74">
        <f t="shared" si="0"/>
        <v>34</v>
      </c>
      <c r="K62" s="48">
        <f t="shared" si="8"/>
        <v>42632.13183310871</v>
      </c>
      <c r="L62" s="43">
        <f t="shared" si="12"/>
        <v>-14210.710611036317</v>
      </c>
      <c r="M62" s="75">
        <f t="shared" si="2"/>
        <v>28421.421222072393</v>
      </c>
      <c r="N62" s="32"/>
      <c r="O62" s="76">
        <f t="shared" ref="O62:P64" si="14">+O61+F62</f>
        <v>-505822.32000000024</v>
      </c>
      <c r="P62" s="39">
        <f t="shared" si="14"/>
        <v>25450.67619969145</v>
      </c>
      <c r="Q62" s="88">
        <f t="shared" si="10"/>
        <v>483164.16077523498</v>
      </c>
      <c r="R62" s="32"/>
    </row>
    <row r="63" spans="1:18" x14ac:dyDescent="0.45">
      <c r="A63" s="3">
        <v>15629.34</v>
      </c>
      <c r="B63" s="103">
        <f>A63/((1+$F$16)^($F$12-35))</f>
        <v>15584.598196998912</v>
      </c>
      <c r="C63" s="19">
        <f t="shared" si="11"/>
        <v>45387</v>
      </c>
      <c r="D63" s="26">
        <f t="shared" si="3"/>
        <v>35</v>
      </c>
      <c r="E63" s="34">
        <f t="shared" si="4"/>
        <v>31213.938196999192</v>
      </c>
      <c r="F63" s="107">
        <f t="shared" si="5"/>
        <v>-15629.34</v>
      </c>
      <c r="G63" s="47">
        <f t="shared" si="6"/>
        <v>44.741803001088556</v>
      </c>
      <c r="H63" s="60">
        <f t="shared" si="7"/>
        <v>15629.34000000028</v>
      </c>
      <c r="J63" s="74">
        <f t="shared" si="0"/>
        <v>35</v>
      </c>
      <c r="K63" s="48">
        <f t="shared" si="8"/>
        <v>28421.421222072393</v>
      </c>
      <c r="L63" s="43">
        <f t="shared" si="12"/>
        <v>-14210.710611036317</v>
      </c>
      <c r="M63" s="75">
        <f t="shared" si="2"/>
        <v>14210.710611036076</v>
      </c>
      <c r="N63" s="32"/>
      <c r="O63" s="76">
        <f t="shared" si="14"/>
        <v>-521451.66000000027</v>
      </c>
      <c r="P63" s="39">
        <f t="shared" si="14"/>
        <v>25495.418002692539</v>
      </c>
      <c r="Q63" s="88">
        <f t="shared" si="10"/>
        <v>497374.87138627132</v>
      </c>
      <c r="R63" s="32"/>
    </row>
    <row r="64" spans="1:18" x14ac:dyDescent="0.45">
      <c r="A64" s="3">
        <v>15629.34</v>
      </c>
      <c r="B64" s="103">
        <f>A64/((1+$F$16)^($F$12-36))</f>
        <v>15629.34</v>
      </c>
      <c r="C64" s="19">
        <f t="shared" si="11"/>
        <v>45417</v>
      </c>
      <c r="D64" s="26">
        <f t="shared" si="3"/>
        <v>36</v>
      </c>
      <c r="E64" s="34">
        <f t="shared" si="4"/>
        <v>15629.34000000028</v>
      </c>
      <c r="F64" s="107">
        <f t="shared" si="5"/>
        <v>-15629.34</v>
      </c>
      <c r="G64" s="47">
        <f t="shared" si="6"/>
        <v>0</v>
      </c>
      <c r="H64" s="60">
        <f t="shared" si="7"/>
        <v>2.801243681460619E-10</v>
      </c>
      <c r="J64" s="74">
        <f t="shared" si="0"/>
        <v>36</v>
      </c>
      <c r="K64" s="48">
        <f t="shared" si="8"/>
        <v>14210.710611036076</v>
      </c>
      <c r="L64" s="43">
        <f t="shared" si="12"/>
        <v>-14210.710611036317</v>
      </c>
      <c r="M64" s="75">
        <f t="shared" si="2"/>
        <v>-2.4010660126805305E-10</v>
      </c>
      <c r="N64" s="32"/>
      <c r="O64" s="76">
        <f t="shared" si="14"/>
        <v>-537081.00000000023</v>
      </c>
      <c r="P64" s="39">
        <f t="shared" si="14"/>
        <v>25495.418002692539</v>
      </c>
      <c r="Q64" s="88">
        <f t="shared" si="10"/>
        <v>511585.58199730766</v>
      </c>
      <c r="R64" s="32"/>
    </row>
    <row r="65" spans="2:18" x14ac:dyDescent="0.45">
      <c r="B65" s="7"/>
      <c r="C65" s="19">
        <f t="shared" si="11"/>
        <v>45448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45478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45509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45540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45570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45601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45631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45662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45693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45721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45752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45782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45813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45843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45874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45905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45935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45966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45996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46027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46058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46086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46117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46147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46178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46208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46239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46270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46300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46331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5">DATE(YEAR(C94),MONTH(C94)+1,DAY(C94))</f>
        <v>46361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5"/>
        <v>46392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5"/>
        <v>46423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5"/>
        <v>46451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5"/>
        <v>46482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5"/>
        <v>46512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5"/>
        <v>46543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5"/>
        <v>46573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5"/>
        <v>46604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5"/>
        <v>46635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5"/>
        <v>46665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5"/>
        <v>46696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5"/>
        <v>46726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-537081.00000000023</v>
      </c>
      <c r="G110" s="43">
        <f>SUM(G29:G107)</f>
        <v>25495.418002692539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511585.58199730742</v>
      </c>
      <c r="G116" s="119">
        <f>INDEX(M:M,MATCH(DATE(2021,12,DAY(D10)),C:C))</f>
        <v>412110.60772005306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-90742.799103305369</v>
      </c>
      <c r="G119" s="113">
        <f ca="1">IFERROR(SUM(INDIRECT("F"&amp;MATCH(DATE(2022,1,DAY(D10)),C:C)):INDIRECT("G"&amp;MATCH(DATE(2022,1,DAY(D10)),C:C)+11)),VALUE("0"))</f>
        <v>-164555.04640145242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-420842.78289400204</v>
      </c>
      <c r="G123" s="113">
        <f ca="1">IFERROR(SUM(INDIRECT("F"&amp;MATCH(DATE(2023,1,DAY(D10)),C:C)):G107),VALUE("0"))</f>
        <v>-256287.73649254959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-175474.89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-262146.68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C9D1D-374C-46D4-A4E9-A6BDA691B360}">
  <dimension ref="B1:R130"/>
  <sheetViews>
    <sheetView topLeftCell="A103"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140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49268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44515</v>
      </c>
      <c r="E10" s="12">
        <f>VLOOKUP($C$2,'Lease Summary'!D:H,4,FALSE)</f>
        <v>45610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35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49268</v>
      </c>
      <c r="G22" s="7" t="s">
        <v>229</v>
      </c>
      <c r="H22" s="53">
        <f>-PV(F16,F12,F22,0,1)</f>
        <v>1687609.6345002353</v>
      </c>
      <c r="J22" s="17" t="s">
        <v>234</v>
      </c>
      <c r="K22" s="22"/>
      <c r="L22" s="7"/>
      <c r="M22" s="65">
        <f>H22</f>
        <v>1687609.6345002353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44515</v>
      </c>
      <c r="D29" s="27">
        <v>1</v>
      </c>
      <c r="E29" s="33">
        <f>H22</f>
        <v>1687609.6345002353</v>
      </c>
      <c r="F29" s="42">
        <f>-D7</f>
        <v>-49268</v>
      </c>
      <c r="G29" s="46">
        <f t="shared" ref="G29:G40" si="0">((E29+F29)*($F$16))</f>
        <v>4703.5128998966575</v>
      </c>
      <c r="H29" s="59">
        <f>SUM(E29:G29)</f>
        <v>1643045.1474001319</v>
      </c>
      <c r="J29" s="69">
        <f t="shared" ref="J29:J52" si="1">D29</f>
        <v>1</v>
      </c>
      <c r="K29" s="70">
        <f>M22</f>
        <v>1687609.6345002353</v>
      </c>
      <c r="L29" s="42">
        <f t="shared" ref="L29:L40" si="2">-$M$22/$F$12</f>
        <v>-46878.045402784315</v>
      </c>
      <c r="M29" s="71">
        <f t="shared" ref="M29:M52" si="3">K29+L29</f>
        <v>1640731.589097451</v>
      </c>
      <c r="N29" s="32"/>
      <c r="O29" s="72">
        <f>+F29</f>
        <v>-49268</v>
      </c>
      <c r="P29" s="73">
        <f>+G29</f>
        <v>4703.5128998966575</v>
      </c>
      <c r="Q29" s="71">
        <f>-L29</f>
        <v>46878.045402784315</v>
      </c>
      <c r="R29" s="85"/>
    </row>
    <row r="30" spans="2:18" x14ac:dyDescent="0.45">
      <c r="B30" s="7"/>
      <c r="C30" s="19">
        <f>DATE(YEAR(C29),MONTH(C29)+1,DAY(C29))</f>
        <v>44545</v>
      </c>
      <c r="D30" s="26">
        <f t="shared" ref="D30:D64" si="4">D29+1</f>
        <v>2</v>
      </c>
      <c r="E30" s="34">
        <f t="shared" ref="E30:E52" si="5">H29</f>
        <v>1643045.1474001319</v>
      </c>
      <c r="F30" s="43">
        <f t="shared" ref="F30:F64" si="6">F29</f>
        <v>-49268</v>
      </c>
      <c r="G30" s="47">
        <f t="shared" si="0"/>
        <v>4575.5727709646635</v>
      </c>
      <c r="H30" s="60">
        <f t="shared" ref="H30:H52" si="7">SUM(E30:G30)</f>
        <v>1598352.7201710965</v>
      </c>
      <c r="J30" s="74">
        <f t="shared" si="1"/>
        <v>2</v>
      </c>
      <c r="K30" s="48">
        <f t="shared" ref="K30:K52" si="8">M29</f>
        <v>1640731.589097451</v>
      </c>
      <c r="L30" s="43">
        <f t="shared" si="2"/>
        <v>-46878.045402784315</v>
      </c>
      <c r="M30" s="75">
        <f t="shared" si="3"/>
        <v>1593853.5436946666</v>
      </c>
      <c r="N30" s="32"/>
      <c r="O30" s="76">
        <f t="shared" ref="O30:P45" si="9">+O29+F30</f>
        <v>-98536</v>
      </c>
      <c r="P30" s="77">
        <f t="shared" si="9"/>
        <v>9279.085670861321</v>
      </c>
      <c r="Q30" s="75">
        <f t="shared" ref="Q30:Q52" si="10">+Q29-L30</f>
        <v>93756.09080556863</v>
      </c>
      <c r="R30" s="86"/>
    </row>
    <row r="31" spans="2:18" x14ac:dyDescent="0.45">
      <c r="B31" s="7"/>
      <c r="C31" s="19">
        <f t="shared" ref="C31:C94" si="11">DATE(YEAR(C30),MONTH(C30)+1,DAY(C30))</f>
        <v>44576</v>
      </c>
      <c r="D31" s="26">
        <f t="shared" si="4"/>
        <v>3</v>
      </c>
      <c r="E31" s="34">
        <f t="shared" si="5"/>
        <v>1598352.7201710965</v>
      </c>
      <c r="F31" s="43">
        <f t="shared" si="6"/>
        <v>-49268</v>
      </c>
      <c r="G31" s="47">
        <f t="shared" si="0"/>
        <v>4447.2653388803992</v>
      </c>
      <c r="H31" s="60">
        <f t="shared" si="7"/>
        <v>1553531.985509977</v>
      </c>
      <c r="J31" s="74">
        <f t="shared" si="1"/>
        <v>3</v>
      </c>
      <c r="K31" s="48">
        <f t="shared" si="8"/>
        <v>1593853.5436946666</v>
      </c>
      <c r="L31" s="43">
        <f t="shared" si="2"/>
        <v>-46878.045402784315</v>
      </c>
      <c r="M31" s="75">
        <f t="shared" si="3"/>
        <v>1546975.4982918822</v>
      </c>
      <c r="N31" s="32"/>
      <c r="O31" s="76">
        <f t="shared" si="9"/>
        <v>-147804</v>
      </c>
      <c r="P31" s="39">
        <f t="shared" si="9"/>
        <v>13726.35100974172</v>
      </c>
      <c r="Q31" s="88">
        <f t="shared" si="10"/>
        <v>140634.13620835295</v>
      </c>
      <c r="R31" s="86"/>
    </row>
    <row r="32" spans="2:18" x14ac:dyDescent="0.45">
      <c r="B32" s="7"/>
      <c r="C32" s="19">
        <f t="shared" si="11"/>
        <v>44607</v>
      </c>
      <c r="D32" s="26">
        <f t="shared" si="4"/>
        <v>4</v>
      </c>
      <c r="E32" s="34">
        <f t="shared" si="5"/>
        <v>1553531.985509977</v>
      </c>
      <c r="F32" s="43">
        <f t="shared" si="6"/>
        <v>-49268</v>
      </c>
      <c r="G32" s="47">
        <f t="shared" si="0"/>
        <v>4318.5895491537176</v>
      </c>
      <c r="H32" s="60">
        <f t="shared" si="7"/>
        <v>1508582.5750591308</v>
      </c>
      <c r="J32" s="74">
        <f t="shared" si="1"/>
        <v>4</v>
      </c>
      <c r="K32" s="48">
        <f t="shared" si="8"/>
        <v>1546975.4982918822</v>
      </c>
      <c r="L32" s="43">
        <f t="shared" si="2"/>
        <v>-46878.045402784315</v>
      </c>
      <c r="M32" s="75">
        <f t="shared" si="3"/>
        <v>1500097.4528890979</v>
      </c>
      <c r="N32" s="32"/>
      <c r="O32" s="76">
        <f t="shared" si="9"/>
        <v>-197072</v>
      </c>
      <c r="P32" s="39">
        <f t="shared" si="9"/>
        <v>18044.94055889544</v>
      </c>
      <c r="Q32" s="88">
        <f t="shared" si="10"/>
        <v>187512.18161113726</v>
      </c>
      <c r="R32" s="86"/>
    </row>
    <row r="33" spans="2:18" x14ac:dyDescent="0.45">
      <c r="B33" s="7"/>
      <c r="C33" s="19">
        <f t="shared" si="11"/>
        <v>44635</v>
      </c>
      <c r="D33" s="26">
        <f t="shared" si="4"/>
        <v>5</v>
      </c>
      <c r="E33" s="34">
        <f t="shared" si="5"/>
        <v>1508582.5750591308</v>
      </c>
      <c r="F33" s="43">
        <f t="shared" si="6"/>
        <v>-49268</v>
      </c>
      <c r="G33" s="47">
        <f t="shared" si="0"/>
        <v>4189.5443442671331</v>
      </c>
      <c r="H33" s="60">
        <f t="shared" si="7"/>
        <v>1463504.1194033979</v>
      </c>
      <c r="J33" s="74">
        <f t="shared" si="1"/>
        <v>5</v>
      </c>
      <c r="K33" s="48">
        <f t="shared" si="8"/>
        <v>1500097.4528890979</v>
      </c>
      <c r="L33" s="43">
        <f t="shared" si="2"/>
        <v>-46878.045402784315</v>
      </c>
      <c r="M33" s="75">
        <f t="shared" si="3"/>
        <v>1453219.4074863135</v>
      </c>
      <c r="N33" s="32"/>
      <c r="O33" s="76">
        <f t="shared" si="9"/>
        <v>-246340</v>
      </c>
      <c r="P33" s="39">
        <f t="shared" si="9"/>
        <v>22234.484903162571</v>
      </c>
      <c r="Q33" s="88">
        <f t="shared" si="10"/>
        <v>234390.22701392157</v>
      </c>
      <c r="R33" s="86"/>
    </row>
    <row r="34" spans="2:18" x14ac:dyDescent="0.45">
      <c r="B34" s="7"/>
      <c r="C34" s="19">
        <f t="shared" si="11"/>
        <v>44666</v>
      </c>
      <c r="D34" s="26">
        <f t="shared" si="4"/>
        <v>6</v>
      </c>
      <c r="E34" s="34">
        <f t="shared" si="5"/>
        <v>1463504.1194033979</v>
      </c>
      <c r="F34" s="43">
        <f t="shared" si="6"/>
        <v>-49268</v>
      </c>
      <c r="G34" s="47">
        <f t="shared" si="0"/>
        <v>4060.1286636671362</v>
      </c>
      <c r="H34" s="60">
        <f t="shared" si="7"/>
        <v>1418296.2480670651</v>
      </c>
      <c r="J34" s="74">
        <f t="shared" si="1"/>
        <v>6</v>
      </c>
      <c r="K34" s="48">
        <f t="shared" si="8"/>
        <v>1453219.4074863135</v>
      </c>
      <c r="L34" s="43">
        <f t="shared" si="2"/>
        <v>-46878.045402784315</v>
      </c>
      <c r="M34" s="75">
        <f t="shared" si="3"/>
        <v>1406341.3620835291</v>
      </c>
      <c r="N34" s="32"/>
      <c r="O34" s="76">
        <f t="shared" si="9"/>
        <v>-295608</v>
      </c>
      <c r="P34" s="39">
        <f t="shared" si="9"/>
        <v>26294.613566829707</v>
      </c>
      <c r="Q34" s="88">
        <f t="shared" si="10"/>
        <v>281268.27241670591</v>
      </c>
      <c r="R34" s="86"/>
    </row>
    <row r="35" spans="2:18" x14ac:dyDescent="0.45">
      <c r="B35" s="7"/>
      <c r="C35" s="19">
        <f t="shared" si="11"/>
        <v>44696</v>
      </c>
      <c r="D35" s="26">
        <f t="shared" si="4"/>
        <v>7</v>
      </c>
      <c r="E35" s="34">
        <f t="shared" si="5"/>
        <v>1418296.2480670651</v>
      </c>
      <c r="F35" s="43">
        <f t="shared" si="6"/>
        <v>-49268</v>
      </c>
      <c r="G35" s="47">
        <f t="shared" si="0"/>
        <v>3930.341443755477</v>
      </c>
      <c r="H35" s="60">
        <f t="shared" si="7"/>
        <v>1372958.5895108206</v>
      </c>
      <c r="J35" s="74">
        <f t="shared" si="1"/>
        <v>7</v>
      </c>
      <c r="K35" s="48">
        <f t="shared" si="8"/>
        <v>1406341.3620835291</v>
      </c>
      <c r="L35" s="43">
        <f t="shared" si="2"/>
        <v>-46878.045402784315</v>
      </c>
      <c r="M35" s="75">
        <f t="shared" si="3"/>
        <v>1359463.3166807448</v>
      </c>
      <c r="N35" s="32"/>
      <c r="O35" s="76">
        <f t="shared" si="9"/>
        <v>-344876</v>
      </c>
      <c r="P35" s="39">
        <f t="shared" si="9"/>
        <v>30224.955010585185</v>
      </c>
      <c r="Q35" s="88">
        <f t="shared" si="10"/>
        <v>328146.31781949021</v>
      </c>
      <c r="R35" s="86"/>
    </row>
    <row r="36" spans="2:18" x14ac:dyDescent="0.45">
      <c r="B36" s="7"/>
      <c r="C36" s="19">
        <f t="shared" si="11"/>
        <v>44727</v>
      </c>
      <c r="D36" s="26">
        <f t="shared" si="4"/>
        <v>8</v>
      </c>
      <c r="E36" s="34">
        <f t="shared" si="5"/>
        <v>1372958.5895108206</v>
      </c>
      <c r="F36" s="43">
        <f t="shared" si="6"/>
        <v>-49268</v>
      </c>
      <c r="G36" s="47">
        <f t="shared" si="0"/>
        <v>3800.1816178804202</v>
      </c>
      <c r="H36" s="60">
        <f t="shared" si="7"/>
        <v>1327490.771128701</v>
      </c>
      <c r="J36" s="74">
        <f t="shared" si="1"/>
        <v>8</v>
      </c>
      <c r="K36" s="48">
        <f t="shared" si="8"/>
        <v>1359463.3166807448</v>
      </c>
      <c r="L36" s="43">
        <f t="shared" si="2"/>
        <v>-46878.045402784315</v>
      </c>
      <c r="M36" s="75">
        <f t="shared" si="3"/>
        <v>1312585.2712779604</v>
      </c>
      <c r="N36" s="32"/>
      <c r="O36" s="76">
        <f t="shared" si="9"/>
        <v>-394144</v>
      </c>
      <c r="P36" s="39">
        <f t="shared" si="9"/>
        <v>34025.136628465603</v>
      </c>
      <c r="Q36" s="88">
        <f t="shared" si="10"/>
        <v>375024.36322227452</v>
      </c>
      <c r="R36" s="86"/>
    </row>
    <row r="37" spans="2:18" x14ac:dyDescent="0.45">
      <c r="B37" s="7"/>
      <c r="C37" s="19">
        <f t="shared" si="11"/>
        <v>44757</v>
      </c>
      <c r="D37" s="26">
        <f t="shared" si="4"/>
        <v>9</v>
      </c>
      <c r="E37" s="34">
        <f t="shared" si="5"/>
        <v>1327490.771128701</v>
      </c>
      <c r="F37" s="43">
        <f t="shared" si="6"/>
        <v>-49268</v>
      </c>
      <c r="G37" s="47">
        <f t="shared" si="0"/>
        <v>3669.6481163279836</v>
      </c>
      <c r="H37" s="60">
        <f t="shared" si="7"/>
        <v>1281892.4192450291</v>
      </c>
      <c r="J37" s="74">
        <f t="shared" si="1"/>
        <v>9</v>
      </c>
      <c r="K37" s="48">
        <f t="shared" si="8"/>
        <v>1312585.2712779604</v>
      </c>
      <c r="L37" s="43">
        <f t="shared" si="2"/>
        <v>-46878.045402784315</v>
      </c>
      <c r="M37" s="75">
        <f t="shared" si="3"/>
        <v>1265707.225875176</v>
      </c>
      <c r="N37" s="32"/>
      <c r="O37" s="76">
        <f t="shared" si="9"/>
        <v>-443412</v>
      </c>
      <c r="P37" s="39">
        <f t="shared" si="9"/>
        <v>37694.784744793586</v>
      </c>
      <c r="Q37" s="88">
        <f t="shared" si="10"/>
        <v>421902.40862505883</v>
      </c>
      <c r="R37" s="86"/>
    </row>
    <row r="38" spans="2:18" x14ac:dyDescent="0.45">
      <c r="B38" s="7"/>
      <c r="C38" s="19">
        <f t="shared" si="11"/>
        <v>44788</v>
      </c>
      <c r="D38" s="26">
        <f t="shared" si="4"/>
        <v>10</v>
      </c>
      <c r="E38" s="34">
        <f t="shared" si="5"/>
        <v>1281892.4192450291</v>
      </c>
      <c r="F38" s="43">
        <f t="shared" si="6"/>
        <v>-49268</v>
      </c>
      <c r="G38" s="47">
        <f t="shared" si="0"/>
        <v>3538.7398663131439</v>
      </c>
      <c r="H38" s="60">
        <f t="shared" si="7"/>
        <v>1236163.1591113422</v>
      </c>
      <c r="J38" s="74">
        <f t="shared" si="1"/>
        <v>10</v>
      </c>
      <c r="K38" s="48">
        <f t="shared" si="8"/>
        <v>1265707.225875176</v>
      </c>
      <c r="L38" s="43">
        <f t="shared" si="2"/>
        <v>-46878.045402784315</v>
      </c>
      <c r="M38" s="75">
        <f t="shared" si="3"/>
        <v>1218829.1804723917</v>
      </c>
      <c r="N38" s="32"/>
      <c r="O38" s="76">
        <f t="shared" si="9"/>
        <v>-492680</v>
      </c>
      <c r="P38" s="39">
        <f t="shared" si="9"/>
        <v>41233.524611106732</v>
      </c>
      <c r="Q38" s="88">
        <f t="shared" si="10"/>
        <v>468780.45402784314</v>
      </c>
      <c r="R38" s="87"/>
    </row>
    <row r="39" spans="2:18" x14ac:dyDescent="0.45">
      <c r="B39" s="7"/>
      <c r="C39" s="19">
        <f t="shared" si="11"/>
        <v>44819</v>
      </c>
      <c r="D39" s="26">
        <f t="shared" si="4"/>
        <v>11</v>
      </c>
      <c r="E39" s="34">
        <f t="shared" si="5"/>
        <v>1236163.1591113422</v>
      </c>
      <c r="F39" s="43">
        <f t="shared" si="6"/>
        <v>-49268</v>
      </c>
      <c r="G39" s="47">
        <f t="shared" si="0"/>
        <v>3407.4557919710196</v>
      </c>
      <c r="H39" s="60">
        <f t="shared" si="7"/>
        <v>1190302.6149033131</v>
      </c>
      <c r="J39" s="74">
        <f t="shared" si="1"/>
        <v>11</v>
      </c>
      <c r="K39" s="48">
        <f t="shared" si="8"/>
        <v>1218829.1804723917</v>
      </c>
      <c r="L39" s="43">
        <f t="shared" si="2"/>
        <v>-46878.045402784315</v>
      </c>
      <c r="M39" s="75">
        <f t="shared" si="3"/>
        <v>1171951.1350696073</v>
      </c>
      <c r="N39" s="32"/>
      <c r="O39" s="76">
        <f t="shared" si="9"/>
        <v>-541948</v>
      </c>
      <c r="P39" s="39">
        <f t="shared" si="9"/>
        <v>44640.980403077752</v>
      </c>
      <c r="Q39" s="88">
        <f t="shared" si="10"/>
        <v>515658.49943062745</v>
      </c>
      <c r="R39" s="87"/>
    </row>
    <row r="40" spans="2:18" x14ac:dyDescent="0.45">
      <c r="B40" s="7"/>
      <c r="C40" s="19">
        <f t="shared" si="11"/>
        <v>44849</v>
      </c>
      <c r="D40" s="26">
        <f t="shared" si="4"/>
        <v>12</v>
      </c>
      <c r="E40" s="34">
        <f t="shared" si="5"/>
        <v>1190302.6149033131</v>
      </c>
      <c r="F40" s="43">
        <f t="shared" si="6"/>
        <v>-49268</v>
      </c>
      <c r="G40" s="47">
        <f t="shared" si="0"/>
        <v>3275.7948143480312</v>
      </c>
      <c r="H40" s="60">
        <f t="shared" si="7"/>
        <v>1144310.4097176611</v>
      </c>
      <c r="J40" s="74">
        <f t="shared" si="1"/>
        <v>12</v>
      </c>
      <c r="K40" s="48">
        <f t="shared" si="8"/>
        <v>1171951.1350696073</v>
      </c>
      <c r="L40" s="43">
        <f t="shared" si="2"/>
        <v>-46878.045402784315</v>
      </c>
      <c r="M40" s="75">
        <f t="shared" si="3"/>
        <v>1125073.0896668229</v>
      </c>
      <c r="N40" s="32"/>
      <c r="O40" s="76">
        <f t="shared" si="9"/>
        <v>-591216</v>
      </c>
      <c r="P40" s="39">
        <f t="shared" si="9"/>
        <v>47916.775217425784</v>
      </c>
      <c r="Q40" s="88">
        <f t="shared" si="10"/>
        <v>562536.54483341181</v>
      </c>
      <c r="R40" s="87"/>
    </row>
    <row r="41" spans="2:18" x14ac:dyDescent="0.45">
      <c r="B41" s="7"/>
      <c r="C41" s="19">
        <f t="shared" si="11"/>
        <v>44880</v>
      </c>
      <c r="D41" s="26">
        <f t="shared" si="4"/>
        <v>13</v>
      </c>
      <c r="E41" s="34">
        <f t="shared" si="5"/>
        <v>1144310.4097176611</v>
      </c>
      <c r="F41" s="43">
        <f t="shared" si="6"/>
        <v>-49268</v>
      </c>
      <c r="G41" s="47">
        <f t="shared" ref="G41:G52" si="12">((E41+F41)*($F$16))</f>
        <v>3143.755851393033</v>
      </c>
      <c r="H41" s="60">
        <f t="shared" si="7"/>
        <v>1098186.1655690542</v>
      </c>
      <c r="J41" s="74">
        <f t="shared" si="1"/>
        <v>13</v>
      </c>
      <c r="K41" s="48">
        <f t="shared" si="8"/>
        <v>1125073.0896668229</v>
      </c>
      <c r="L41" s="43">
        <f t="shared" ref="L41:L64" si="13">-$M$22/$F$12</f>
        <v>-46878.045402784315</v>
      </c>
      <c r="M41" s="75">
        <f t="shared" si="3"/>
        <v>1078195.0442640386</v>
      </c>
      <c r="N41" s="32"/>
      <c r="O41" s="76">
        <f t="shared" si="9"/>
        <v>-640484</v>
      </c>
      <c r="P41" s="39">
        <f t="shared" si="9"/>
        <v>51060.531068818818</v>
      </c>
      <c r="Q41" s="88">
        <f t="shared" si="10"/>
        <v>609414.59023619618</v>
      </c>
      <c r="R41" s="87"/>
    </row>
    <row r="42" spans="2:18" x14ac:dyDescent="0.45">
      <c r="B42" s="7"/>
      <c r="C42" s="19">
        <f t="shared" si="11"/>
        <v>44910</v>
      </c>
      <c r="D42" s="26">
        <f t="shared" si="4"/>
        <v>14</v>
      </c>
      <c r="E42" s="34">
        <f t="shared" si="5"/>
        <v>1098186.1655690542</v>
      </c>
      <c r="F42" s="43">
        <f t="shared" si="6"/>
        <v>-49268</v>
      </c>
      <c r="G42" s="47">
        <f t="shared" si="12"/>
        <v>3011.3378179484189</v>
      </c>
      <c r="H42" s="60">
        <f t="shared" si="7"/>
        <v>1051929.5033870025</v>
      </c>
      <c r="J42" s="74">
        <f t="shared" si="1"/>
        <v>14</v>
      </c>
      <c r="K42" s="48">
        <f t="shared" si="8"/>
        <v>1078195.0442640386</v>
      </c>
      <c r="L42" s="43">
        <f t="shared" si="13"/>
        <v>-46878.045402784315</v>
      </c>
      <c r="M42" s="75">
        <f t="shared" si="3"/>
        <v>1031316.9988612542</v>
      </c>
      <c r="N42" s="32"/>
      <c r="O42" s="76">
        <f t="shared" si="9"/>
        <v>-689752</v>
      </c>
      <c r="P42" s="39">
        <f t="shared" si="9"/>
        <v>54071.868886767239</v>
      </c>
      <c r="Q42" s="88">
        <f t="shared" si="10"/>
        <v>656292.63563898054</v>
      </c>
      <c r="R42" s="87"/>
    </row>
    <row r="43" spans="2:18" x14ac:dyDescent="0.45">
      <c r="B43" s="7"/>
      <c r="C43" s="19">
        <f t="shared" si="11"/>
        <v>44941</v>
      </c>
      <c r="D43" s="26">
        <f t="shared" si="4"/>
        <v>15</v>
      </c>
      <c r="E43" s="34">
        <f t="shared" si="5"/>
        <v>1051929.5033870025</v>
      </c>
      <c r="F43" s="43">
        <f t="shared" si="6"/>
        <v>-49268</v>
      </c>
      <c r="G43" s="47">
        <f t="shared" si="12"/>
        <v>2878.5396257412058</v>
      </c>
      <c r="H43" s="60">
        <f t="shared" si="7"/>
        <v>1005540.0430127437</v>
      </c>
      <c r="J43" s="74">
        <f t="shared" si="1"/>
        <v>15</v>
      </c>
      <c r="K43" s="48">
        <f t="shared" si="8"/>
        <v>1031316.9988612542</v>
      </c>
      <c r="L43" s="43">
        <f t="shared" si="13"/>
        <v>-46878.045402784315</v>
      </c>
      <c r="M43" s="75">
        <f t="shared" si="3"/>
        <v>984438.95345846983</v>
      </c>
      <c r="N43" s="32"/>
      <c r="O43" s="76">
        <f t="shared" si="9"/>
        <v>-739020</v>
      </c>
      <c r="P43" s="39">
        <f t="shared" si="9"/>
        <v>56950.408512508446</v>
      </c>
      <c r="Q43" s="88">
        <f t="shared" si="10"/>
        <v>703170.68104176491</v>
      </c>
      <c r="R43" s="87"/>
    </row>
    <row r="44" spans="2:18" x14ac:dyDescent="0.45">
      <c r="B44" s="7"/>
      <c r="C44" s="19">
        <f t="shared" si="11"/>
        <v>44972</v>
      </c>
      <c r="D44" s="26">
        <f t="shared" si="4"/>
        <v>16</v>
      </c>
      <c r="E44" s="34">
        <f t="shared" si="5"/>
        <v>1005540.0430127437</v>
      </c>
      <c r="F44" s="43">
        <f t="shared" si="6"/>
        <v>-49268</v>
      </c>
      <c r="G44" s="47">
        <f t="shared" si="12"/>
        <v>2745.3601833740895</v>
      </c>
      <c r="H44" s="60">
        <f t="shared" si="7"/>
        <v>959017.40319611784</v>
      </c>
      <c r="J44" s="74">
        <f t="shared" si="1"/>
        <v>16</v>
      </c>
      <c r="K44" s="48">
        <f t="shared" si="8"/>
        <v>984438.95345846983</v>
      </c>
      <c r="L44" s="43">
        <f t="shared" si="13"/>
        <v>-46878.045402784315</v>
      </c>
      <c r="M44" s="75">
        <f t="shared" si="3"/>
        <v>937560.90805568546</v>
      </c>
      <c r="N44" s="32"/>
      <c r="O44" s="76">
        <f t="shared" si="9"/>
        <v>-788288</v>
      </c>
      <c r="P44" s="39">
        <f t="shared" si="9"/>
        <v>59695.768695882536</v>
      </c>
      <c r="Q44" s="88">
        <f t="shared" si="10"/>
        <v>750048.72644454928</v>
      </c>
      <c r="R44" s="87"/>
    </row>
    <row r="45" spans="2:18" x14ac:dyDescent="0.45">
      <c r="B45" s="7"/>
      <c r="C45" s="19">
        <f t="shared" si="11"/>
        <v>45000</v>
      </c>
      <c r="D45" s="26">
        <f t="shared" si="4"/>
        <v>17</v>
      </c>
      <c r="E45" s="34">
        <f t="shared" si="5"/>
        <v>959017.40319611784</v>
      </c>
      <c r="F45" s="43">
        <f t="shared" si="6"/>
        <v>-49268</v>
      </c>
      <c r="G45" s="47">
        <f t="shared" si="12"/>
        <v>2611.7983963164743</v>
      </c>
      <c r="H45" s="60">
        <f t="shared" si="7"/>
        <v>912361.20159243431</v>
      </c>
      <c r="J45" s="74">
        <f t="shared" si="1"/>
        <v>17</v>
      </c>
      <c r="K45" s="48">
        <f t="shared" si="8"/>
        <v>937560.90805568546</v>
      </c>
      <c r="L45" s="43">
        <f t="shared" si="13"/>
        <v>-46878.045402784315</v>
      </c>
      <c r="M45" s="75">
        <f t="shared" si="3"/>
        <v>890682.86265290109</v>
      </c>
      <c r="N45" s="32"/>
      <c r="O45" s="76">
        <f t="shared" si="9"/>
        <v>-837556</v>
      </c>
      <c r="P45" s="39">
        <f t="shared" si="9"/>
        <v>62307.567092199009</v>
      </c>
      <c r="Q45" s="88">
        <f t="shared" si="10"/>
        <v>796926.77184733364</v>
      </c>
      <c r="R45" s="87"/>
    </row>
    <row r="46" spans="2:18" x14ac:dyDescent="0.45">
      <c r="B46" s="7"/>
      <c r="C46" s="19">
        <f t="shared" si="11"/>
        <v>45031</v>
      </c>
      <c r="D46" s="26">
        <f t="shared" si="4"/>
        <v>18</v>
      </c>
      <c r="E46" s="34">
        <f t="shared" si="5"/>
        <v>912361.20159243431</v>
      </c>
      <c r="F46" s="43">
        <f t="shared" si="6"/>
        <v>-49268</v>
      </c>
      <c r="G46" s="47">
        <f t="shared" si="12"/>
        <v>2477.8531668954779</v>
      </c>
      <c r="H46" s="60">
        <f t="shared" si="7"/>
        <v>865571.05475932977</v>
      </c>
      <c r="J46" s="74">
        <f t="shared" si="1"/>
        <v>18</v>
      </c>
      <c r="K46" s="48">
        <f t="shared" si="8"/>
        <v>890682.86265290109</v>
      </c>
      <c r="L46" s="43">
        <f t="shared" si="13"/>
        <v>-46878.045402784315</v>
      </c>
      <c r="M46" s="75">
        <f t="shared" si="3"/>
        <v>843804.81725011673</v>
      </c>
      <c r="N46" s="32"/>
      <c r="O46" s="76">
        <f t="shared" ref="O46:P52" si="14">+O45+F46</f>
        <v>-886824</v>
      </c>
      <c r="P46" s="39">
        <f t="shared" si="14"/>
        <v>64785.420259094484</v>
      </c>
      <c r="Q46" s="88">
        <f t="shared" si="10"/>
        <v>843804.81725011801</v>
      </c>
      <c r="R46" s="87"/>
    </row>
    <row r="47" spans="2:18" x14ac:dyDescent="0.45">
      <c r="B47" s="7"/>
      <c r="C47" s="19">
        <f t="shared" si="11"/>
        <v>45061</v>
      </c>
      <c r="D47" s="26">
        <f t="shared" si="4"/>
        <v>19</v>
      </c>
      <c r="E47" s="34">
        <f t="shared" si="5"/>
        <v>865571.05475932977</v>
      </c>
      <c r="F47" s="43">
        <f t="shared" si="6"/>
        <v>-49268</v>
      </c>
      <c r="G47" s="47">
        <f t="shared" si="12"/>
        <v>2343.5233942869099</v>
      </c>
      <c r="H47" s="60">
        <f t="shared" si="7"/>
        <v>818646.57815361663</v>
      </c>
      <c r="J47" s="74">
        <f t="shared" si="1"/>
        <v>19</v>
      </c>
      <c r="K47" s="48">
        <f t="shared" si="8"/>
        <v>843804.81725011673</v>
      </c>
      <c r="L47" s="43">
        <f t="shared" si="13"/>
        <v>-46878.045402784315</v>
      </c>
      <c r="M47" s="75">
        <f t="shared" si="3"/>
        <v>796926.77184733236</v>
      </c>
      <c r="N47" s="32"/>
      <c r="O47" s="76">
        <f t="shared" si="14"/>
        <v>-936092</v>
      </c>
      <c r="P47" s="39">
        <f t="shared" si="14"/>
        <v>67128.943653381401</v>
      </c>
      <c r="Q47" s="88">
        <f t="shared" si="10"/>
        <v>890682.86265290237</v>
      </c>
      <c r="R47" s="87"/>
    </row>
    <row r="48" spans="2:18" x14ac:dyDescent="0.45">
      <c r="B48" s="7"/>
      <c r="C48" s="19">
        <f t="shared" si="11"/>
        <v>45092</v>
      </c>
      <c r="D48" s="26">
        <f t="shared" si="4"/>
        <v>20</v>
      </c>
      <c r="E48" s="34">
        <f t="shared" si="5"/>
        <v>818646.57815361663</v>
      </c>
      <c r="F48" s="43">
        <f t="shared" si="6"/>
        <v>-49268</v>
      </c>
      <c r="G48" s="47">
        <f t="shared" si="12"/>
        <v>2208.8079745062264</v>
      </c>
      <c r="H48" s="60">
        <f t="shared" si="7"/>
        <v>771587.3861281228</v>
      </c>
      <c r="J48" s="74">
        <f t="shared" si="1"/>
        <v>20</v>
      </c>
      <c r="K48" s="48">
        <f t="shared" si="8"/>
        <v>796926.77184733236</v>
      </c>
      <c r="L48" s="43">
        <f t="shared" si="13"/>
        <v>-46878.045402784315</v>
      </c>
      <c r="M48" s="75">
        <f t="shared" si="3"/>
        <v>750048.726444548</v>
      </c>
      <c r="N48" s="32"/>
      <c r="O48" s="76">
        <f t="shared" si="14"/>
        <v>-985360</v>
      </c>
      <c r="P48" s="39">
        <f t="shared" si="14"/>
        <v>69337.751627887628</v>
      </c>
      <c r="Q48" s="88">
        <f t="shared" si="10"/>
        <v>937560.90805568674</v>
      </c>
      <c r="R48" s="87"/>
    </row>
    <row r="49" spans="2:18" x14ac:dyDescent="0.45">
      <c r="B49" s="7"/>
      <c r="C49" s="19">
        <f t="shared" si="11"/>
        <v>45122</v>
      </c>
      <c r="D49" s="26">
        <f t="shared" si="4"/>
        <v>21</v>
      </c>
      <c r="E49" s="34">
        <f t="shared" si="5"/>
        <v>771587.3861281228</v>
      </c>
      <c r="F49" s="43">
        <f t="shared" si="6"/>
        <v>-49268</v>
      </c>
      <c r="G49" s="47">
        <f t="shared" si="12"/>
        <v>2073.7058003994543</v>
      </c>
      <c r="H49" s="60">
        <f t="shared" si="7"/>
        <v>724393.09192852222</v>
      </c>
      <c r="J49" s="74">
        <f t="shared" si="1"/>
        <v>21</v>
      </c>
      <c r="K49" s="48">
        <f t="shared" si="8"/>
        <v>750048.726444548</v>
      </c>
      <c r="L49" s="43">
        <f t="shared" si="13"/>
        <v>-46878.045402784315</v>
      </c>
      <c r="M49" s="75">
        <f t="shared" si="3"/>
        <v>703170.68104176363</v>
      </c>
      <c r="N49" s="80"/>
      <c r="O49" s="76">
        <f t="shared" si="14"/>
        <v>-1034628</v>
      </c>
      <c r="P49" s="39">
        <f t="shared" si="14"/>
        <v>71411.457428287089</v>
      </c>
      <c r="Q49" s="88">
        <f t="shared" si="10"/>
        <v>984438.95345847111</v>
      </c>
      <c r="R49" s="87"/>
    </row>
    <row r="50" spans="2:18" x14ac:dyDescent="0.45">
      <c r="B50" s="7"/>
      <c r="C50" s="19">
        <f t="shared" si="11"/>
        <v>45153</v>
      </c>
      <c r="D50" s="26">
        <f t="shared" si="4"/>
        <v>22</v>
      </c>
      <c r="E50" s="34">
        <f t="shared" si="5"/>
        <v>724393.09192852222</v>
      </c>
      <c r="F50" s="43">
        <f t="shared" si="6"/>
        <v>-49268</v>
      </c>
      <c r="G50" s="47">
        <f t="shared" si="12"/>
        <v>1938.2157616340946</v>
      </c>
      <c r="H50" s="60">
        <f t="shared" si="7"/>
        <v>677063.30769015627</v>
      </c>
      <c r="J50" s="74">
        <f t="shared" si="1"/>
        <v>22</v>
      </c>
      <c r="K50" s="48">
        <f t="shared" si="8"/>
        <v>703170.68104176363</v>
      </c>
      <c r="L50" s="43">
        <f t="shared" si="13"/>
        <v>-46878.045402784315</v>
      </c>
      <c r="M50" s="75">
        <f t="shared" si="3"/>
        <v>656292.63563897926</v>
      </c>
      <c r="N50" s="32"/>
      <c r="O50" s="76">
        <f t="shared" si="14"/>
        <v>-1083896</v>
      </c>
      <c r="P50" s="39">
        <f t="shared" si="14"/>
        <v>73349.673189921188</v>
      </c>
      <c r="Q50" s="88">
        <f t="shared" si="10"/>
        <v>1031316.9988612555</v>
      </c>
      <c r="R50" s="32"/>
    </row>
    <row r="51" spans="2:18" x14ac:dyDescent="0.45">
      <c r="B51" s="7"/>
      <c r="C51" s="19">
        <f t="shared" si="11"/>
        <v>45184</v>
      </c>
      <c r="D51" s="26">
        <f t="shared" si="4"/>
        <v>23</v>
      </c>
      <c r="E51" s="34">
        <f t="shared" si="5"/>
        <v>677063.30769015627</v>
      </c>
      <c r="F51" s="43">
        <f t="shared" si="6"/>
        <v>-49268</v>
      </c>
      <c r="G51" s="47">
        <f t="shared" si="12"/>
        <v>1802.3367446899961</v>
      </c>
      <c r="H51" s="60">
        <f t="shared" si="7"/>
        <v>629597.64443484624</v>
      </c>
      <c r="J51" s="74">
        <f t="shared" si="1"/>
        <v>23</v>
      </c>
      <c r="K51" s="48">
        <f t="shared" si="8"/>
        <v>656292.63563897926</v>
      </c>
      <c r="L51" s="43">
        <f t="shared" si="13"/>
        <v>-46878.045402784315</v>
      </c>
      <c r="M51" s="75">
        <f t="shared" si="3"/>
        <v>609414.5902361949</v>
      </c>
      <c r="N51" s="32"/>
      <c r="O51" s="76">
        <f t="shared" si="14"/>
        <v>-1133164</v>
      </c>
      <c r="P51" s="39">
        <f t="shared" si="14"/>
        <v>75152.009934611182</v>
      </c>
      <c r="Q51" s="88">
        <f t="shared" si="10"/>
        <v>1078195.0442640397</v>
      </c>
      <c r="R51" s="32"/>
    </row>
    <row r="52" spans="2:18" x14ac:dyDescent="0.45">
      <c r="B52" s="7"/>
      <c r="C52" s="19">
        <f t="shared" si="11"/>
        <v>45214</v>
      </c>
      <c r="D52" s="26">
        <f t="shared" si="4"/>
        <v>24</v>
      </c>
      <c r="E52" s="34">
        <f t="shared" si="5"/>
        <v>629597.64443484624</v>
      </c>
      <c r="F52" s="43">
        <f t="shared" si="6"/>
        <v>-49268</v>
      </c>
      <c r="G52" s="47">
        <f t="shared" si="12"/>
        <v>1666.0676328502034</v>
      </c>
      <c r="H52" s="60">
        <f t="shared" si="7"/>
        <v>581995.7120676965</v>
      </c>
      <c r="J52" s="74">
        <f t="shared" si="1"/>
        <v>24</v>
      </c>
      <c r="K52" s="48">
        <f t="shared" si="8"/>
        <v>609414.5902361949</v>
      </c>
      <c r="L52" s="43">
        <f t="shared" si="13"/>
        <v>-46878.045402784315</v>
      </c>
      <c r="M52" s="75">
        <f t="shared" si="3"/>
        <v>562536.54483341053</v>
      </c>
      <c r="N52" s="32"/>
      <c r="O52" s="76">
        <f t="shared" si="14"/>
        <v>-1182432</v>
      </c>
      <c r="P52" s="39">
        <f t="shared" si="14"/>
        <v>76818.077567461383</v>
      </c>
      <c r="Q52" s="88">
        <f t="shared" si="10"/>
        <v>1125073.0896668241</v>
      </c>
      <c r="R52" s="32"/>
    </row>
    <row r="53" spans="2:18" x14ac:dyDescent="0.45">
      <c r="B53" s="7"/>
      <c r="C53" s="19">
        <f t="shared" si="11"/>
        <v>45245</v>
      </c>
      <c r="D53" s="26">
        <f t="shared" si="4"/>
        <v>25</v>
      </c>
      <c r="E53" s="34">
        <f t="shared" ref="E53:E61" si="15">H52</f>
        <v>581995.7120676965</v>
      </c>
      <c r="F53" s="43">
        <f t="shared" si="6"/>
        <v>-49268</v>
      </c>
      <c r="G53" s="47">
        <f t="shared" ref="G53:G61" si="16">((E53+F53)*($F$16))</f>
        <v>1529.4073061917802</v>
      </c>
      <c r="H53" s="60">
        <f t="shared" ref="H53:H61" si="17">SUM(E53:G53)</f>
        <v>534257.11937388824</v>
      </c>
      <c r="J53" s="74">
        <f t="shared" ref="J53:J64" si="18">D53</f>
        <v>25</v>
      </c>
      <c r="K53" s="48">
        <f t="shared" ref="K53:K64" si="19">M52</f>
        <v>562536.54483341053</v>
      </c>
      <c r="L53" s="43">
        <f t="shared" si="13"/>
        <v>-46878.045402784315</v>
      </c>
      <c r="M53" s="75">
        <f t="shared" ref="M53:M64" si="20">K53+L53</f>
        <v>515658.49943062622</v>
      </c>
      <c r="N53" s="32"/>
      <c r="O53" s="76">
        <f t="shared" ref="O53:O64" si="21">+O52+F53</f>
        <v>-1231700</v>
      </c>
      <c r="P53" s="39">
        <f t="shared" ref="P53:P64" si="22">+P52+G53</f>
        <v>78347.484873653157</v>
      </c>
      <c r="Q53" s="88">
        <f t="shared" ref="Q53:Q64" si="23">+Q52-L53</f>
        <v>1171951.1350696085</v>
      </c>
      <c r="R53" s="32"/>
    </row>
    <row r="54" spans="2:18" x14ac:dyDescent="0.45">
      <c r="B54" s="7"/>
      <c r="C54" s="19">
        <f t="shared" si="11"/>
        <v>45275</v>
      </c>
      <c r="D54" s="26">
        <f t="shared" si="4"/>
        <v>26</v>
      </c>
      <c r="E54" s="34">
        <f t="shared" si="15"/>
        <v>534257.11937388824</v>
      </c>
      <c r="F54" s="43">
        <f t="shared" si="6"/>
        <v>-49268</v>
      </c>
      <c r="G54" s="47">
        <f t="shared" si="16"/>
        <v>1392.3546415766045</v>
      </c>
      <c r="H54" s="60">
        <f t="shared" si="17"/>
        <v>486381.47401546483</v>
      </c>
      <c r="J54" s="74">
        <f t="shared" si="18"/>
        <v>26</v>
      </c>
      <c r="K54" s="48">
        <f t="shared" si="19"/>
        <v>515658.49943062622</v>
      </c>
      <c r="L54" s="43">
        <f t="shared" si="13"/>
        <v>-46878.045402784315</v>
      </c>
      <c r="M54" s="75">
        <f t="shared" si="20"/>
        <v>468780.45402784192</v>
      </c>
      <c r="N54" s="32"/>
      <c r="O54" s="76">
        <f t="shared" si="21"/>
        <v>-1280968</v>
      </c>
      <c r="P54" s="39">
        <f t="shared" si="22"/>
        <v>79739.83951522976</v>
      </c>
      <c r="Q54" s="88">
        <f t="shared" si="23"/>
        <v>1218829.1804723928</v>
      </c>
      <c r="R54" s="32"/>
    </row>
    <row r="55" spans="2:18" x14ac:dyDescent="0.45">
      <c r="B55" s="7"/>
      <c r="C55" s="19">
        <f t="shared" si="11"/>
        <v>45306</v>
      </c>
      <c r="D55" s="26">
        <f t="shared" si="4"/>
        <v>27</v>
      </c>
      <c r="E55" s="34">
        <f t="shared" si="15"/>
        <v>486381.47401546483</v>
      </c>
      <c r="F55" s="43">
        <f t="shared" si="6"/>
        <v>-49268</v>
      </c>
      <c r="G55" s="47">
        <f t="shared" si="16"/>
        <v>1254.9085126421392</v>
      </c>
      <c r="H55" s="60">
        <f t="shared" si="17"/>
        <v>438368.38252810697</v>
      </c>
      <c r="J55" s="74">
        <f t="shared" si="18"/>
        <v>27</v>
      </c>
      <c r="K55" s="48">
        <f t="shared" si="19"/>
        <v>468780.45402784192</v>
      </c>
      <c r="L55" s="43">
        <f t="shared" si="13"/>
        <v>-46878.045402784315</v>
      </c>
      <c r="M55" s="75">
        <f t="shared" si="20"/>
        <v>421902.40862505761</v>
      </c>
      <c r="N55" s="32"/>
      <c r="O55" s="76">
        <f t="shared" si="21"/>
        <v>-1330236</v>
      </c>
      <c r="P55" s="39">
        <f t="shared" si="22"/>
        <v>80994.748027871901</v>
      </c>
      <c r="Q55" s="88">
        <f t="shared" si="23"/>
        <v>1265707.2258751772</v>
      </c>
      <c r="R55" s="32"/>
    </row>
    <row r="56" spans="2:18" x14ac:dyDescent="0.45">
      <c r="B56" s="7"/>
      <c r="C56" s="19">
        <f t="shared" si="11"/>
        <v>45337</v>
      </c>
      <c r="D56" s="26">
        <f t="shared" si="4"/>
        <v>28</v>
      </c>
      <c r="E56" s="34">
        <f t="shared" si="15"/>
        <v>438368.38252810697</v>
      </c>
      <c r="F56" s="43">
        <f t="shared" si="6"/>
        <v>-49268</v>
      </c>
      <c r="G56" s="47">
        <f t="shared" si="16"/>
        <v>1117.0677897921737</v>
      </c>
      <c r="H56" s="60">
        <f t="shared" si="17"/>
        <v>390217.45031789917</v>
      </c>
      <c r="J56" s="74">
        <f t="shared" si="18"/>
        <v>28</v>
      </c>
      <c r="K56" s="48">
        <f t="shared" si="19"/>
        <v>421902.40862505761</v>
      </c>
      <c r="L56" s="43">
        <f t="shared" si="13"/>
        <v>-46878.045402784315</v>
      </c>
      <c r="M56" s="75">
        <f t="shared" si="20"/>
        <v>375024.3632222733</v>
      </c>
      <c r="N56" s="32"/>
      <c r="O56" s="76">
        <f t="shared" si="21"/>
        <v>-1379504</v>
      </c>
      <c r="P56" s="39">
        <f t="shared" si="22"/>
        <v>82111.815817664072</v>
      </c>
      <c r="Q56" s="88">
        <f t="shared" si="23"/>
        <v>1312585.2712779616</v>
      </c>
      <c r="R56" s="32"/>
    </row>
    <row r="57" spans="2:18" x14ac:dyDescent="0.45">
      <c r="B57" s="7"/>
      <c r="C57" s="19">
        <f t="shared" si="11"/>
        <v>45366</v>
      </c>
      <c r="D57" s="26">
        <f t="shared" si="4"/>
        <v>29</v>
      </c>
      <c r="E57" s="34">
        <f t="shared" si="15"/>
        <v>390217.45031789917</v>
      </c>
      <c r="F57" s="43">
        <f t="shared" si="6"/>
        <v>-49268</v>
      </c>
      <c r="G57" s="47">
        <f t="shared" si="16"/>
        <v>978.83134018754197</v>
      </c>
      <c r="H57" s="60">
        <f t="shared" si="17"/>
        <v>341928.28165808669</v>
      </c>
      <c r="J57" s="74">
        <f t="shared" si="18"/>
        <v>29</v>
      </c>
      <c r="K57" s="48">
        <f t="shared" si="19"/>
        <v>375024.3632222733</v>
      </c>
      <c r="L57" s="43">
        <f t="shared" si="13"/>
        <v>-46878.045402784315</v>
      </c>
      <c r="M57" s="75">
        <f t="shared" si="20"/>
        <v>328146.31781948899</v>
      </c>
      <c r="N57" s="32"/>
      <c r="O57" s="76">
        <f t="shared" si="21"/>
        <v>-1428772</v>
      </c>
      <c r="P57" s="39">
        <f t="shared" si="22"/>
        <v>83090.647157851607</v>
      </c>
      <c r="Q57" s="88">
        <f t="shared" si="23"/>
        <v>1359463.3166807459</v>
      </c>
      <c r="R57" s="32"/>
    </row>
    <row r="58" spans="2:18" x14ac:dyDescent="0.45">
      <c r="B58" s="7"/>
      <c r="C58" s="19">
        <f t="shared" si="11"/>
        <v>45397</v>
      </c>
      <c r="D58" s="26">
        <f t="shared" si="4"/>
        <v>30</v>
      </c>
      <c r="E58" s="34">
        <f t="shared" si="15"/>
        <v>341928.28165808669</v>
      </c>
      <c r="F58" s="43">
        <f t="shared" si="6"/>
        <v>-49268</v>
      </c>
      <c r="G58" s="47">
        <f t="shared" si="16"/>
        <v>840.19802773681045</v>
      </c>
      <c r="H58" s="60">
        <f t="shared" si="17"/>
        <v>293500.47968582349</v>
      </c>
      <c r="J58" s="74">
        <f t="shared" si="18"/>
        <v>30</v>
      </c>
      <c r="K58" s="48">
        <f t="shared" si="19"/>
        <v>328146.31781948899</v>
      </c>
      <c r="L58" s="43">
        <f t="shared" si="13"/>
        <v>-46878.045402784315</v>
      </c>
      <c r="M58" s="75">
        <f t="shared" si="20"/>
        <v>281268.27241670468</v>
      </c>
      <c r="N58" s="32"/>
      <c r="O58" s="76">
        <f t="shared" si="21"/>
        <v>-1478040</v>
      </c>
      <c r="P58" s="39">
        <f t="shared" si="22"/>
        <v>83930.84518558842</v>
      </c>
      <c r="Q58" s="88">
        <f t="shared" si="23"/>
        <v>1406341.3620835303</v>
      </c>
      <c r="R58" s="32"/>
    </row>
    <row r="59" spans="2:18" x14ac:dyDescent="0.45">
      <c r="B59" s="7"/>
      <c r="C59" s="19">
        <f t="shared" si="11"/>
        <v>45427</v>
      </c>
      <c r="D59" s="26">
        <f t="shared" si="4"/>
        <v>31</v>
      </c>
      <c r="E59" s="34">
        <f t="shared" si="15"/>
        <v>293500.47968582349</v>
      </c>
      <c r="F59" s="43">
        <f t="shared" si="6"/>
        <v>-49268</v>
      </c>
      <c r="G59" s="47">
        <f t="shared" si="16"/>
        <v>701.16671308694265</v>
      </c>
      <c r="H59" s="60">
        <f t="shared" si="17"/>
        <v>244933.64639891044</v>
      </c>
      <c r="J59" s="74">
        <f t="shared" si="18"/>
        <v>31</v>
      </c>
      <c r="K59" s="48">
        <f t="shared" si="19"/>
        <v>281268.27241670468</v>
      </c>
      <c r="L59" s="43">
        <f t="shared" si="13"/>
        <v>-46878.045402784315</v>
      </c>
      <c r="M59" s="75">
        <f t="shared" si="20"/>
        <v>234390.22701392038</v>
      </c>
      <c r="N59" s="32"/>
      <c r="O59" s="76">
        <f t="shared" si="21"/>
        <v>-1527308</v>
      </c>
      <c r="P59" s="39">
        <f t="shared" si="22"/>
        <v>84632.011898675366</v>
      </c>
      <c r="Q59" s="88">
        <f t="shared" si="23"/>
        <v>1453219.4074863147</v>
      </c>
      <c r="R59" s="32"/>
    </row>
    <row r="60" spans="2:18" x14ac:dyDescent="0.45">
      <c r="B60" s="7"/>
      <c r="C60" s="19">
        <f t="shared" si="11"/>
        <v>45458</v>
      </c>
      <c r="D60" s="26">
        <f t="shared" si="4"/>
        <v>32</v>
      </c>
      <c r="E60" s="34">
        <f t="shared" si="15"/>
        <v>244933.64639891044</v>
      </c>
      <c r="F60" s="43">
        <f t="shared" si="6"/>
        <v>-49268</v>
      </c>
      <c r="G60" s="47">
        <f t="shared" si="16"/>
        <v>561.73625361393522</v>
      </c>
      <c r="H60" s="60">
        <f t="shared" si="17"/>
        <v>196227.38265252436</v>
      </c>
      <c r="J60" s="74">
        <f t="shared" si="18"/>
        <v>32</v>
      </c>
      <c r="K60" s="48">
        <f t="shared" si="19"/>
        <v>234390.22701392038</v>
      </c>
      <c r="L60" s="43">
        <f t="shared" si="13"/>
        <v>-46878.045402784315</v>
      </c>
      <c r="M60" s="75">
        <f t="shared" si="20"/>
        <v>187512.18161113607</v>
      </c>
      <c r="N60" s="32"/>
      <c r="O60" s="76">
        <f t="shared" si="21"/>
        <v>-1576576</v>
      </c>
      <c r="P60" s="39">
        <f t="shared" si="22"/>
        <v>85193.748152289307</v>
      </c>
      <c r="Q60" s="88">
        <f t="shared" si="23"/>
        <v>1500097.452889099</v>
      </c>
      <c r="R60" s="32"/>
    </row>
    <row r="61" spans="2:18" x14ac:dyDescent="0.45">
      <c r="B61" s="7"/>
      <c r="C61" s="19">
        <f t="shared" si="11"/>
        <v>45488</v>
      </c>
      <c r="D61" s="26">
        <f t="shared" si="4"/>
        <v>33</v>
      </c>
      <c r="E61" s="34">
        <f t="shared" si="15"/>
        <v>196227.38265252436</v>
      </c>
      <c r="F61" s="43">
        <f t="shared" si="6"/>
        <v>-49268</v>
      </c>
      <c r="G61" s="47">
        <f t="shared" si="16"/>
        <v>421.90550341342629</v>
      </c>
      <c r="H61" s="60">
        <f t="shared" si="17"/>
        <v>147381.2881559378</v>
      </c>
      <c r="J61" s="74">
        <f t="shared" si="18"/>
        <v>33</v>
      </c>
      <c r="K61" s="48">
        <f t="shared" si="19"/>
        <v>187512.18161113607</v>
      </c>
      <c r="L61" s="43">
        <f t="shared" si="13"/>
        <v>-46878.045402784315</v>
      </c>
      <c r="M61" s="75">
        <f t="shared" si="20"/>
        <v>140634.13620835176</v>
      </c>
      <c r="N61" s="32"/>
      <c r="O61" s="76">
        <f t="shared" si="21"/>
        <v>-1625844</v>
      </c>
      <c r="P61" s="39">
        <f t="shared" si="22"/>
        <v>85615.653655702728</v>
      </c>
      <c r="Q61" s="88">
        <f t="shared" si="23"/>
        <v>1546975.4982918834</v>
      </c>
      <c r="R61" s="32"/>
    </row>
    <row r="62" spans="2:18" x14ac:dyDescent="0.45">
      <c r="B62" s="7"/>
      <c r="C62" s="19">
        <f t="shared" si="11"/>
        <v>45519</v>
      </c>
      <c r="D62" s="26">
        <f t="shared" si="4"/>
        <v>34</v>
      </c>
      <c r="E62" s="34">
        <f t="shared" ref="E62:E64" si="24">H61</f>
        <v>147381.2881559378</v>
      </c>
      <c r="F62" s="43">
        <f t="shared" si="6"/>
        <v>-49268</v>
      </c>
      <c r="G62" s="47">
        <f t="shared" ref="G62:G64" si="25">((E62+F62)*($F$16))</f>
        <v>281.67331329127933</v>
      </c>
      <c r="H62" s="60">
        <f t="shared" ref="H62:H64" si="26">SUM(E62:G62)</f>
        <v>98394.961469229078</v>
      </c>
      <c r="J62" s="74">
        <f t="shared" si="18"/>
        <v>34</v>
      </c>
      <c r="K62" s="48">
        <f t="shared" si="19"/>
        <v>140634.13620835176</v>
      </c>
      <c r="L62" s="43">
        <f t="shared" si="13"/>
        <v>-46878.045402784315</v>
      </c>
      <c r="M62" s="75">
        <f t="shared" si="20"/>
        <v>93756.090805567452</v>
      </c>
      <c r="N62" s="32"/>
      <c r="O62" s="76">
        <f t="shared" si="21"/>
        <v>-1675112</v>
      </c>
      <c r="P62" s="39">
        <f t="shared" si="22"/>
        <v>85897.326968994006</v>
      </c>
      <c r="Q62" s="88">
        <f t="shared" si="23"/>
        <v>1593853.5436946678</v>
      </c>
      <c r="R62" s="32"/>
    </row>
    <row r="63" spans="2:18" x14ac:dyDescent="0.45">
      <c r="B63" s="7"/>
      <c r="C63" s="19">
        <f t="shared" si="11"/>
        <v>45550</v>
      </c>
      <c r="D63" s="26">
        <f t="shared" si="4"/>
        <v>35</v>
      </c>
      <c r="E63" s="34">
        <f t="shared" si="24"/>
        <v>98394.961469229078</v>
      </c>
      <c r="F63" s="43">
        <f t="shared" si="6"/>
        <v>-49268</v>
      </c>
      <c r="G63" s="47">
        <f t="shared" si="25"/>
        <v>141.03853075413733</v>
      </c>
      <c r="H63" s="60">
        <f t="shared" si="26"/>
        <v>49267.999999983214</v>
      </c>
      <c r="J63" s="74">
        <f t="shared" si="18"/>
        <v>35</v>
      </c>
      <c r="K63" s="48">
        <f t="shared" si="19"/>
        <v>93756.090805567452</v>
      </c>
      <c r="L63" s="43">
        <f t="shared" si="13"/>
        <v>-46878.045402784315</v>
      </c>
      <c r="M63" s="75">
        <f t="shared" si="20"/>
        <v>46878.045402783137</v>
      </c>
      <c r="N63" s="32"/>
      <c r="O63" s="76">
        <f t="shared" si="21"/>
        <v>-1724380</v>
      </c>
      <c r="P63" s="39">
        <f t="shared" si="22"/>
        <v>86038.36549974815</v>
      </c>
      <c r="Q63" s="88">
        <f t="shared" si="23"/>
        <v>1640731.5890974521</v>
      </c>
      <c r="R63" s="32"/>
    </row>
    <row r="64" spans="2:18" x14ac:dyDescent="0.45">
      <c r="B64" s="7"/>
      <c r="C64" s="19">
        <f t="shared" si="11"/>
        <v>45580</v>
      </c>
      <c r="D64" s="26">
        <f t="shared" si="4"/>
        <v>36</v>
      </c>
      <c r="E64" s="34">
        <f t="shared" si="24"/>
        <v>49267.999999983214</v>
      </c>
      <c r="F64" s="43">
        <f t="shared" si="6"/>
        <v>-49268</v>
      </c>
      <c r="G64" s="47">
        <f t="shared" si="25"/>
        <v>-4.8189855769377125E-11</v>
      </c>
      <c r="H64" s="60">
        <f t="shared" si="26"/>
        <v>-1.683382407169054E-8</v>
      </c>
      <c r="J64" s="74">
        <f t="shared" si="18"/>
        <v>36</v>
      </c>
      <c r="K64" s="48">
        <f t="shared" si="19"/>
        <v>46878.045402783137</v>
      </c>
      <c r="L64" s="43">
        <f t="shared" si="13"/>
        <v>-46878.045402784315</v>
      </c>
      <c r="M64" s="75">
        <f t="shared" si="20"/>
        <v>-1.178705133497715E-9</v>
      </c>
      <c r="N64" s="32"/>
      <c r="O64" s="76">
        <f t="shared" si="21"/>
        <v>-1773648</v>
      </c>
      <c r="P64" s="39">
        <f t="shared" si="22"/>
        <v>86038.365499748106</v>
      </c>
      <c r="Q64" s="88">
        <f t="shared" si="23"/>
        <v>1687609.6345002365</v>
      </c>
      <c r="R64" s="32"/>
    </row>
    <row r="65" spans="2:18" x14ac:dyDescent="0.45">
      <c r="B65" s="7"/>
      <c r="C65" s="19">
        <f t="shared" si="11"/>
        <v>45611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45641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45672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45703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45731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45762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45792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45823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45853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45884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45915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45945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45976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46006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46037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46068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46096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46127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46157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46188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46218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46249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46280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46310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46341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46371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46402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46433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46461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46492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27">DATE(YEAR(C94),MONTH(C94)+1,DAY(C94))</f>
        <v>46522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27"/>
        <v>46553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27"/>
        <v>46583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27"/>
        <v>46614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27"/>
        <v>46645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27"/>
        <v>46675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27"/>
        <v>46706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27"/>
        <v>46736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27"/>
        <v>46767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27"/>
        <v>46798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27"/>
        <v>46827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27"/>
        <v>46858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27"/>
        <v>46888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-1.6530975699424744E-8</v>
      </c>
      <c r="F110" s="43">
        <f>SUM(F29:F107)</f>
        <v>-1773648</v>
      </c>
      <c r="G110" s="43">
        <f>SUM(G29:G107)</f>
        <v>86038.365499748106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1687609.6345002353</v>
      </c>
      <c r="G116" s="119">
        <f>INDEX(M:M,MATCH(DATE(2021,12,DAY(D10)),C:C))</f>
        <v>1593853.5436946666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-89256.914329138686</v>
      </c>
      <c r="G119" s="113">
        <f ca="1">IFERROR(SUM(INDIRECT("F"&amp;MATCH(DATE(2022,1,DAY(D10)),C:C)):INDIRECT("G"&amp;MATCH(DATE(2022,1,DAY(D10)),C:C)+11)),VALUE("0"))</f>
        <v>-546423.21678409411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-1598352.720171113</v>
      </c>
      <c r="G123" s="113">
        <f ca="1">IFERROR(SUM(INDIRECT("F"&amp;MATCH(DATE(2023,1,DAY(D10)),C:C)):G107),VALUE("0"))</f>
        <v>-1051929.503387019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-591216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-1083896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8B4AE-E761-435F-A26C-F80C15864BF9}">
  <dimension ref="A1:R130"/>
  <sheetViews>
    <sheetView topLeftCell="A103" zoomScale="85" zoomScaleNormal="85" workbookViewId="0">
      <selection activeCell="F116" sqref="F116"/>
    </sheetView>
  </sheetViews>
  <sheetFormatPr defaultRowHeight="14.25" x14ac:dyDescent="0.45"/>
  <cols>
    <col min="1" max="1" width="12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144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44018</v>
      </c>
      <c r="E10" s="12">
        <f>VLOOKUP($C$2,'Lease Summary'!D:H,4,FALSE)</f>
        <v>45112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19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701756.16875491862</v>
      </c>
      <c r="J22" s="17" t="s">
        <v>234</v>
      </c>
      <c r="K22" s="22"/>
      <c r="L22" s="7"/>
      <c r="M22" s="65">
        <f>H22</f>
        <v>701756.16875491862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701756.16875491862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v>19950</v>
      </c>
      <c r="B29" s="103">
        <f>A29/((1+$F$16)^($F$12-1))</f>
        <v>18045.415231936786</v>
      </c>
      <c r="C29" s="19">
        <f>D10</f>
        <v>44018</v>
      </c>
      <c r="D29" s="27">
        <v>1</v>
      </c>
      <c r="E29" s="33">
        <f>A28</f>
        <v>701756.16875491862</v>
      </c>
      <c r="F29" s="106">
        <f>-A29</f>
        <v>-19950</v>
      </c>
      <c r="G29" s="46">
        <f>A29-B29</f>
        <v>1904.5847680632141</v>
      </c>
      <c r="H29" s="59">
        <f>SUM(E29:G29)</f>
        <v>683710.75352298189</v>
      </c>
      <c r="J29" s="69">
        <f t="shared" ref="J29:J64" si="0">D29</f>
        <v>1</v>
      </c>
      <c r="K29" s="70">
        <f>M22</f>
        <v>701756.16875491862</v>
      </c>
      <c r="L29" s="42">
        <f t="shared" ref="L29:L40" si="1">-$M$22/$F$12</f>
        <v>-19493.226909858851</v>
      </c>
      <c r="M29" s="71">
        <f t="shared" ref="M29:M64" si="2">K29+L29</f>
        <v>682262.94184505974</v>
      </c>
      <c r="N29" s="32"/>
      <c r="O29" s="72">
        <f>+F29</f>
        <v>-19950</v>
      </c>
      <c r="P29" s="73">
        <f>+G29</f>
        <v>1904.5847680632141</v>
      </c>
      <c r="Q29" s="71">
        <f>-L29</f>
        <v>19493.226909858851</v>
      </c>
      <c r="R29" s="85"/>
    </row>
    <row r="30" spans="1:18" x14ac:dyDescent="0.45">
      <c r="A30" s="3">
        <v>19950</v>
      </c>
      <c r="B30" s="103">
        <f>A30/((1+$F$16)^($F$12-2))</f>
        <v>18097.221791411361</v>
      </c>
      <c r="C30" s="19">
        <f>DATE(YEAR(C29),MONTH(C29)+1,DAY(C29))</f>
        <v>44049</v>
      </c>
      <c r="D30" s="26">
        <f t="shared" ref="D30:D64" si="3">D29+1</f>
        <v>2</v>
      </c>
      <c r="E30" s="34">
        <f t="shared" ref="E30:E64" si="4">H29</f>
        <v>683710.75352298189</v>
      </c>
      <c r="F30" s="107">
        <f t="shared" ref="F30:F64" si="5">-A30</f>
        <v>-19950</v>
      </c>
      <c r="G30" s="47">
        <f t="shared" ref="G30:G64" si="6">A30-B30</f>
        <v>1852.7782085886392</v>
      </c>
      <c r="H30" s="60">
        <f t="shared" ref="H30:H64" si="7">SUM(E30:G30)</f>
        <v>665613.53173157049</v>
      </c>
      <c r="J30" s="74">
        <f t="shared" si="0"/>
        <v>2</v>
      </c>
      <c r="K30" s="48">
        <f t="shared" ref="K30:K64" si="8">M29</f>
        <v>682262.94184505974</v>
      </c>
      <c r="L30" s="43">
        <f t="shared" si="1"/>
        <v>-19493.226909858851</v>
      </c>
      <c r="M30" s="75">
        <f t="shared" si="2"/>
        <v>662769.71493520087</v>
      </c>
      <c r="N30" s="32"/>
      <c r="O30" s="76">
        <f t="shared" ref="O30:P45" si="9">+O29+F30</f>
        <v>-39900</v>
      </c>
      <c r="P30" s="77">
        <f t="shared" si="9"/>
        <v>3757.3629766518534</v>
      </c>
      <c r="Q30" s="75">
        <f t="shared" ref="Q30:Q64" si="10">+Q29-L30</f>
        <v>38986.453819717703</v>
      </c>
      <c r="R30" s="86"/>
    </row>
    <row r="31" spans="1:18" x14ac:dyDescent="0.45">
      <c r="A31" s="3">
        <v>19950</v>
      </c>
      <c r="B31" s="103">
        <f>A31/((1+$F$16)^($F$12-3))</f>
        <v>18149.17708227117</v>
      </c>
      <c r="C31" s="19">
        <f t="shared" ref="C31:C94" si="11">DATE(YEAR(C30),MONTH(C30)+1,DAY(C30))</f>
        <v>44080</v>
      </c>
      <c r="D31" s="26">
        <f t="shared" si="3"/>
        <v>3</v>
      </c>
      <c r="E31" s="34">
        <f t="shared" si="4"/>
        <v>665613.53173157049</v>
      </c>
      <c r="F31" s="107">
        <f t="shared" si="5"/>
        <v>-19950</v>
      </c>
      <c r="G31" s="47">
        <f t="shared" si="6"/>
        <v>1800.8229177288304</v>
      </c>
      <c r="H31" s="60">
        <f t="shared" si="7"/>
        <v>647464.35464929929</v>
      </c>
      <c r="J31" s="74">
        <f t="shared" si="0"/>
        <v>3</v>
      </c>
      <c r="K31" s="48">
        <f t="shared" si="8"/>
        <v>662769.71493520087</v>
      </c>
      <c r="L31" s="43">
        <f t="shared" si="1"/>
        <v>-19493.226909858851</v>
      </c>
      <c r="M31" s="75">
        <f t="shared" si="2"/>
        <v>643276.488025342</v>
      </c>
      <c r="N31" s="32"/>
      <c r="O31" s="76">
        <f t="shared" si="9"/>
        <v>-59850</v>
      </c>
      <c r="P31" s="39">
        <f t="shared" si="9"/>
        <v>5558.1858943806837</v>
      </c>
      <c r="Q31" s="88">
        <f t="shared" si="10"/>
        <v>58479.680729576554</v>
      </c>
      <c r="R31" s="86"/>
    </row>
    <row r="32" spans="1:18" x14ac:dyDescent="0.45">
      <c r="A32" s="3">
        <v>19950</v>
      </c>
      <c r="B32" s="103">
        <f>A32/((1+$F$16)^($F$12-4))</f>
        <v>18201.281531508954</v>
      </c>
      <c r="C32" s="19">
        <f t="shared" si="11"/>
        <v>44110</v>
      </c>
      <c r="D32" s="26">
        <f t="shared" si="3"/>
        <v>4</v>
      </c>
      <c r="E32" s="34">
        <f t="shared" si="4"/>
        <v>647464.35464929929</v>
      </c>
      <c r="F32" s="107">
        <f t="shared" si="5"/>
        <v>-19950</v>
      </c>
      <c r="G32" s="47">
        <f t="shared" si="6"/>
        <v>1748.7184684910462</v>
      </c>
      <c r="H32" s="60">
        <f t="shared" si="7"/>
        <v>629263.07311779028</v>
      </c>
      <c r="J32" s="74">
        <f t="shared" si="0"/>
        <v>4</v>
      </c>
      <c r="K32" s="48">
        <f t="shared" si="8"/>
        <v>643276.488025342</v>
      </c>
      <c r="L32" s="43">
        <f t="shared" si="1"/>
        <v>-19493.226909858851</v>
      </c>
      <c r="M32" s="75">
        <f t="shared" si="2"/>
        <v>623783.26111548312</v>
      </c>
      <c r="N32" s="32"/>
      <c r="O32" s="76">
        <f t="shared" si="9"/>
        <v>-79800</v>
      </c>
      <c r="P32" s="39">
        <f t="shared" si="9"/>
        <v>7306.90436287173</v>
      </c>
      <c r="Q32" s="88">
        <f t="shared" si="10"/>
        <v>77972.907639435405</v>
      </c>
      <c r="R32" s="86"/>
    </row>
    <row r="33" spans="1:18" x14ac:dyDescent="0.45">
      <c r="A33" s="3">
        <v>19950</v>
      </c>
      <c r="B33" s="103">
        <f>A33/((1+$F$16)^($F$12-5))</f>
        <v>18253.535567343315</v>
      </c>
      <c r="C33" s="19">
        <f t="shared" si="11"/>
        <v>44141</v>
      </c>
      <c r="D33" s="26">
        <f t="shared" si="3"/>
        <v>5</v>
      </c>
      <c r="E33" s="34">
        <f t="shared" si="4"/>
        <v>629263.07311779028</v>
      </c>
      <c r="F33" s="107">
        <f t="shared" si="5"/>
        <v>-19950</v>
      </c>
      <c r="G33" s="47">
        <f t="shared" si="6"/>
        <v>1696.4644326566849</v>
      </c>
      <c r="H33" s="60">
        <f t="shared" si="7"/>
        <v>611009.53755044693</v>
      </c>
      <c r="J33" s="74">
        <f t="shared" si="0"/>
        <v>5</v>
      </c>
      <c r="K33" s="48">
        <f t="shared" si="8"/>
        <v>623783.26111548312</v>
      </c>
      <c r="L33" s="43">
        <f t="shared" si="1"/>
        <v>-19493.226909858851</v>
      </c>
      <c r="M33" s="75">
        <f t="shared" si="2"/>
        <v>604290.03420562425</v>
      </c>
      <c r="N33" s="32"/>
      <c r="O33" s="76">
        <f t="shared" si="9"/>
        <v>-99750</v>
      </c>
      <c r="P33" s="39">
        <f t="shared" si="9"/>
        <v>9003.3687955284149</v>
      </c>
      <c r="Q33" s="88">
        <f t="shared" si="10"/>
        <v>97466.134549294249</v>
      </c>
      <c r="R33" s="86"/>
    </row>
    <row r="34" spans="1:18" x14ac:dyDescent="0.45">
      <c r="A34" s="3">
        <v>19950</v>
      </c>
      <c r="B34" s="103">
        <f>A34/((1+$F$16)^($F$12-6))</f>
        <v>18305.939619222219</v>
      </c>
      <c r="C34" s="19">
        <f t="shared" si="11"/>
        <v>44171</v>
      </c>
      <c r="D34" s="26">
        <f t="shared" si="3"/>
        <v>6</v>
      </c>
      <c r="E34" s="34">
        <f t="shared" si="4"/>
        <v>611009.53755044693</v>
      </c>
      <c r="F34" s="107">
        <f t="shared" si="5"/>
        <v>-19950</v>
      </c>
      <c r="G34" s="47">
        <f t="shared" si="6"/>
        <v>1644.0603807777807</v>
      </c>
      <c r="H34" s="60">
        <f t="shared" si="7"/>
        <v>592703.59793122474</v>
      </c>
      <c r="J34" s="74">
        <f t="shared" si="0"/>
        <v>6</v>
      </c>
      <c r="K34" s="48">
        <f t="shared" si="8"/>
        <v>604290.03420562425</v>
      </c>
      <c r="L34" s="43">
        <f t="shared" si="1"/>
        <v>-19493.226909858851</v>
      </c>
      <c r="M34" s="75">
        <f t="shared" si="2"/>
        <v>584796.80729576538</v>
      </c>
      <c r="N34" s="32"/>
      <c r="O34" s="76">
        <f t="shared" si="9"/>
        <v>-119700</v>
      </c>
      <c r="P34" s="39">
        <f t="shared" si="9"/>
        <v>10647.429176306196</v>
      </c>
      <c r="Q34" s="88">
        <f t="shared" si="10"/>
        <v>116959.36145915309</v>
      </c>
      <c r="R34" s="86"/>
    </row>
    <row r="35" spans="1:18" x14ac:dyDescent="0.45">
      <c r="A35" s="3">
        <v>19950</v>
      </c>
      <c r="B35" s="103">
        <f>A35/((1+$F$16)^($F$12-7))</f>
        <v>18358.494117826544</v>
      </c>
      <c r="C35" s="19">
        <f t="shared" si="11"/>
        <v>44202</v>
      </c>
      <c r="D35" s="26">
        <f t="shared" si="3"/>
        <v>7</v>
      </c>
      <c r="E35" s="34">
        <f t="shared" si="4"/>
        <v>592703.59793122474</v>
      </c>
      <c r="F35" s="107">
        <f t="shared" si="5"/>
        <v>-19950</v>
      </c>
      <c r="G35" s="47">
        <f t="shared" si="6"/>
        <v>1591.5058821734565</v>
      </c>
      <c r="H35" s="60">
        <f t="shared" si="7"/>
        <v>574345.10381339816</v>
      </c>
      <c r="J35" s="74">
        <f t="shared" si="0"/>
        <v>7</v>
      </c>
      <c r="K35" s="48">
        <f t="shared" si="8"/>
        <v>584796.80729576538</v>
      </c>
      <c r="L35" s="43">
        <f t="shared" si="1"/>
        <v>-19493.226909858851</v>
      </c>
      <c r="M35" s="75">
        <f t="shared" si="2"/>
        <v>565303.58038590651</v>
      </c>
      <c r="N35" s="32"/>
      <c r="O35" s="76">
        <f t="shared" si="9"/>
        <v>-139650</v>
      </c>
      <c r="P35" s="39">
        <f t="shared" si="9"/>
        <v>12238.935058479652</v>
      </c>
      <c r="Q35" s="88">
        <f t="shared" si="10"/>
        <v>136452.58836901194</v>
      </c>
      <c r="R35" s="86"/>
    </row>
    <row r="36" spans="1:18" x14ac:dyDescent="0.45">
      <c r="A36" s="3">
        <v>19950</v>
      </c>
      <c r="B36" s="103">
        <f>A36/((1+$F$16)^($F$12-8))</f>
        <v>18411.199495073583</v>
      </c>
      <c r="C36" s="19">
        <f t="shared" si="11"/>
        <v>44233</v>
      </c>
      <c r="D36" s="26">
        <f t="shared" si="3"/>
        <v>8</v>
      </c>
      <c r="E36" s="34">
        <f t="shared" si="4"/>
        <v>574345.10381339816</v>
      </c>
      <c r="F36" s="107">
        <f t="shared" si="5"/>
        <v>-19950</v>
      </c>
      <c r="G36" s="47">
        <f t="shared" si="6"/>
        <v>1538.8005049264175</v>
      </c>
      <c r="H36" s="60">
        <f t="shared" si="7"/>
        <v>555933.90431832452</v>
      </c>
      <c r="J36" s="74">
        <f t="shared" si="0"/>
        <v>8</v>
      </c>
      <c r="K36" s="48">
        <f t="shared" si="8"/>
        <v>565303.58038590651</v>
      </c>
      <c r="L36" s="43">
        <f t="shared" si="1"/>
        <v>-19493.226909858851</v>
      </c>
      <c r="M36" s="75">
        <f t="shared" si="2"/>
        <v>545810.35347604763</v>
      </c>
      <c r="N36" s="32"/>
      <c r="O36" s="76">
        <f t="shared" si="9"/>
        <v>-159600</v>
      </c>
      <c r="P36" s="39">
        <f t="shared" si="9"/>
        <v>13777.73556340607</v>
      </c>
      <c r="Q36" s="88">
        <f t="shared" si="10"/>
        <v>155945.81527887078</v>
      </c>
      <c r="R36" s="86"/>
    </row>
    <row r="37" spans="1:18" x14ac:dyDescent="0.45">
      <c r="A37" s="3">
        <v>19950</v>
      </c>
      <c r="B37" s="103">
        <f>A37/((1+$F$16)^($F$12-9))</f>
        <v>18464.056184120655</v>
      </c>
      <c r="C37" s="19">
        <f t="shared" si="11"/>
        <v>44261</v>
      </c>
      <c r="D37" s="26">
        <f t="shared" si="3"/>
        <v>9</v>
      </c>
      <c r="E37" s="34">
        <f t="shared" si="4"/>
        <v>555933.90431832452</v>
      </c>
      <c r="F37" s="107">
        <f t="shared" si="5"/>
        <v>-19950</v>
      </c>
      <c r="G37" s="47">
        <f t="shared" si="6"/>
        <v>1485.9438158793455</v>
      </c>
      <c r="H37" s="60">
        <f t="shared" si="7"/>
        <v>537469.84813420381</v>
      </c>
      <c r="J37" s="74">
        <f t="shared" si="0"/>
        <v>9</v>
      </c>
      <c r="K37" s="48">
        <f t="shared" si="8"/>
        <v>545810.35347604763</v>
      </c>
      <c r="L37" s="43">
        <f t="shared" si="1"/>
        <v>-19493.226909858851</v>
      </c>
      <c r="M37" s="75">
        <f t="shared" si="2"/>
        <v>526317.12656618876</v>
      </c>
      <c r="N37" s="32"/>
      <c r="O37" s="76">
        <f t="shared" si="9"/>
        <v>-179550</v>
      </c>
      <c r="P37" s="39">
        <f t="shared" si="9"/>
        <v>15263.679379285415</v>
      </c>
      <c r="Q37" s="88">
        <f t="shared" si="10"/>
        <v>175439.04218872963</v>
      </c>
      <c r="R37" s="86"/>
    </row>
    <row r="38" spans="1:18" x14ac:dyDescent="0.45">
      <c r="A38" s="3">
        <v>19950</v>
      </c>
      <c r="B38" s="103">
        <f>A38/((1+$F$16)^($F$12-10))</f>
        <v>18517.064619368608</v>
      </c>
      <c r="C38" s="19">
        <f t="shared" si="11"/>
        <v>44292</v>
      </c>
      <c r="D38" s="26">
        <f t="shared" si="3"/>
        <v>10</v>
      </c>
      <c r="E38" s="34">
        <f t="shared" si="4"/>
        <v>537469.84813420381</v>
      </c>
      <c r="F38" s="107">
        <f t="shared" si="5"/>
        <v>-19950</v>
      </c>
      <c r="G38" s="47">
        <f t="shared" si="6"/>
        <v>1432.935380631392</v>
      </c>
      <c r="H38" s="60">
        <f t="shared" si="7"/>
        <v>518952.78351483523</v>
      </c>
      <c r="J38" s="74">
        <f t="shared" si="0"/>
        <v>10</v>
      </c>
      <c r="K38" s="48">
        <f t="shared" si="8"/>
        <v>526317.12656618876</v>
      </c>
      <c r="L38" s="43">
        <f t="shared" si="1"/>
        <v>-19493.226909858851</v>
      </c>
      <c r="M38" s="75">
        <f t="shared" si="2"/>
        <v>506823.89965632989</v>
      </c>
      <c r="N38" s="32"/>
      <c r="O38" s="76">
        <f t="shared" si="9"/>
        <v>-199500</v>
      </c>
      <c r="P38" s="39">
        <f t="shared" si="9"/>
        <v>16696.614759916807</v>
      </c>
      <c r="Q38" s="88">
        <f t="shared" si="10"/>
        <v>194932.26909858847</v>
      </c>
      <c r="R38" s="87"/>
    </row>
    <row r="39" spans="1:18" x14ac:dyDescent="0.45">
      <c r="A39" s="3">
        <v>19950</v>
      </c>
      <c r="B39" s="103">
        <f>A39/((1+$F$16)^($F$12-11))</f>
        <v>18570.225236465409</v>
      </c>
      <c r="C39" s="19">
        <f t="shared" si="11"/>
        <v>44322</v>
      </c>
      <c r="D39" s="26">
        <f t="shared" si="3"/>
        <v>11</v>
      </c>
      <c r="E39" s="34">
        <f t="shared" si="4"/>
        <v>518952.78351483523</v>
      </c>
      <c r="F39" s="107">
        <f t="shared" si="5"/>
        <v>-19950</v>
      </c>
      <c r="G39" s="47">
        <f t="shared" si="6"/>
        <v>1379.7747635345913</v>
      </c>
      <c r="H39" s="60">
        <f t="shared" si="7"/>
        <v>500382.55827836983</v>
      </c>
      <c r="J39" s="74">
        <f t="shared" si="0"/>
        <v>11</v>
      </c>
      <c r="K39" s="48">
        <f t="shared" si="8"/>
        <v>506823.89965632989</v>
      </c>
      <c r="L39" s="43">
        <f t="shared" si="1"/>
        <v>-19493.226909858851</v>
      </c>
      <c r="M39" s="75">
        <f t="shared" si="2"/>
        <v>487330.67274647101</v>
      </c>
      <c r="N39" s="32"/>
      <c r="O39" s="76">
        <f t="shared" si="9"/>
        <v>-219450</v>
      </c>
      <c r="P39" s="39">
        <f t="shared" si="9"/>
        <v>18076.389523451398</v>
      </c>
      <c r="Q39" s="88">
        <f t="shared" si="10"/>
        <v>214425.49600844731</v>
      </c>
      <c r="R39" s="87"/>
    </row>
    <row r="40" spans="1:18" x14ac:dyDescent="0.45">
      <c r="A40" s="3">
        <v>19950</v>
      </c>
      <c r="B40" s="103">
        <f>A40/((1+$F$16)^($F$12-12))</f>
        <v>18623.538472309745</v>
      </c>
      <c r="C40" s="19">
        <f t="shared" si="11"/>
        <v>44353</v>
      </c>
      <c r="D40" s="26">
        <f t="shared" si="3"/>
        <v>12</v>
      </c>
      <c r="E40" s="34">
        <f t="shared" si="4"/>
        <v>500382.55827836983</v>
      </c>
      <c r="F40" s="107">
        <f t="shared" si="5"/>
        <v>-19950</v>
      </c>
      <c r="G40" s="47">
        <f t="shared" si="6"/>
        <v>1326.461527690255</v>
      </c>
      <c r="H40" s="60">
        <f t="shared" si="7"/>
        <v>481759.01980606007</v>
      </c>
      <c r="J40" s="74">
        <f t="shared" si="0"/>
        <v>12</v>
      </c>
      <c r="K40" s="48">
        <f t="shared" si="8"/>
        <v>487330.67274647101</v>
      </c>
      <c r="L40" s="43">
        <f t="shared" si="1"/>
        <v>-19493.226909858851</v>
      </c>
      <c r="M40" s="75">
        <f t="shared" si="2"/>
        <v>467837.44583661214</v>
      </c>
      <c r="N40" s="32"/>
      <c r="O40" s="76">
        <f t="shared" si="9"/>
        <v>-239400</v>
      </c>
      <c r="P40" s="39">
        <f t="shared" si="9"/>
        <v>19402.851051141653</v>
      </c>
      <c r="Q40" s="88">
        <f t="shared" si="10"/>
        <v>233918.72291830616</v>
      </c>
      <c r="R40" s="87"/>
    </row>
    <row r="41" spans="1:18" x14ac:dyDescent="0.45">
      <c r="A41" s="3">
        <v>20475</v>
      </c>
      <c r="B41" s="103">
        <f>A41/((1+$F$16)^($F$12-13))</f>
        <v>19168.504890450742</v>
      </c>
      <c r="C41" s="19">
        <f t="shared" si="11"/>
        <v>44383</v>
      </c>
      <c r="D41" s="26">
        <f t="shared" si="3"/>
        <v>13</v>
      </c>
      <c r="E41" s="34">
        <f t="shared" si="4"/>
        <v>481759.01980606007</v>
      </c>
      <c r="F41" s="107">
        <f t="shared" si="5"/>
        <v>-20475</v>
      </c>
      <c r="G41" s="47">
        <f t="shared" si="6"/>
        <v>1306.4951095492579</v>
      </c>
      <c r="H41" s="60">
        <f t="shared" si="7"/>
        <v>462590.51491560932</v>
      </c>
      <c r="J41" s="74">
        <f t="shared" si="0"/>
        <v>13</v>
      </c>
      <c r="K41" s="48">
        <f t="shared" si="8"/>
        <v>467837.44583661214</v>
      </c>
      <c r="L41" s="43">
        <f t="shared" ref="L41:L64" si="12">-$M$22/$F$12</f>
        <v>-19493.226909858851</v>
      </c>
      <c r="M41" s="75">
        <f t="shared" si="2"/>
        <v>448344.21892675327</v>
      </c>
      <c r="N41" s="32"/>
      <c r="O41" s="76">
        <f t="shared" si="9"/>
        <v>-259875</v>
      </c>
      <c r="P41" s="39">
        <f t="shared" si="9"/>
        <v>20709.346160690911</v>
      </c>
      <c r="Q41" s="88">
        <f t="shared" si="10"/>
        <v>253411.949828165</v>
      </c>
      <c r="R41" s="87"/>
    </row>
    <row r="42" spans="1:18" x14ac:dyDescent="0.45">
      <c r="A42" s="3">
        <v>20475</v>
      </c>
      <c r="B42" s="103">
        <f>A42/((1+$F$16)^($F$12-14))</f>
        <v>19223.535726587354</v>
      </c>
      <c r="C42" s="19">
        <f t="shared" si="11"/>
        <v>44414</v>
      </c>
      <c r="D42" s="26">
        <f t="shared" si="3"/>
        <v>14</v>
      </c>
      <c r="E42" s="34">
        <f t="shared" si="4"/>
        <v>462590.51491560932</v>
      </c>
      <c r="F42" s="107">
        <f t="shared" si="5"/>
        <v>-20475</v>
      </c>
      <c r="G42" s="47">
        <f t="shared" si="6"/>
        <v>1251.4642734126464</v>
      </c>
      <c r="H42" s="60">
        <f t="shared" si="7"/>
        <v>443366.97918902198</v>
      </c>
      <c r="J42" s="74">
        <f t="shared" si="0"/>
        <v>14</v>
      </c>
      <c r="K42" s="48">
        <f t="shared" si="8"/>
        <v>448344.21892675327</v>
      </c>
      <c r="L42" s="43">
        <f t="shared" si="12"/>
        <v>-19493.226909858851</v>
      </c>
      <c r="M42" s="75">
        <f t="shared" si="2"/>
        <v>428850.99201689439</v>
      </c>
      <c r="N42" s="32"/>
      <c r="O42" s="76">
        <f t="shared" si="9"/>
        <v>-280350</v>
      </c>
      <c r="P42" s="39">
        <f t="shared" si="9"/>
        <v>21960.810434103558</v>
      </c>
      <c r="Q42" s="88">
        <f t="shared" si="10"/>
        <v>272905.17673802387</v>
      </c>
      <c r="R42" s="87"/>
    </row>
    <row r="43" spans="1:18" x14ac:dyDescent="0.45">
      <c r="A43" s="3">
        <v>20475</v>
      </c>
      <c r="B43" s="103">
        <f>A43/((1+$F$16)^($F$12-15))</f>
        <v>19278.724550680938</v>
      </c>
      <c r="C43" s="19">
        <f t="shared" si="11"/>
        <v>44445</v>
      </c>
      <c r="D43" s="26">
        <f t="shared" si="3"/>
        <v>15</v>
      </c>
      <c r="E43" s="34">
        <f t="shared" si="4"/>
        <v>443366.97918902198</v>
      </c>
      <c r="F43" s="107">
        <f t="shared" si="5"/>
        <v>-20475</v>
      </c>
      <c r="G43" s="47">
        <f t="shared" si="6"/>
        <v>1196.2754493190623</v>
      </c>
      <c r="H43" s="60">
        <f t="shared" si="7"/>
        <v>424088.25463834102</v>
      </c>
      <c r="J43" s="74">
        <f t="shared" si="0"/>
        <v>15</v>
      </c>
      <c r="K43" s="48">
        <f t="shared" si="8"/>
        <v>428850.99201689439</v>
      </c>
      <c r="L43" s="43">
        <f t="shared" si="12"/>
        <v>-19493.226909858851</v>
      </c>
      <c r="M43" s="75">
        <f t="shared" si="2"/>
        <v>409357.76510703552</v>
      </c>
      <c r="N43" s="32"/>
      <c r="O43" s="76">
        <f t="shared" si="9"/>
        <v>-300825</v>
      </c>
      <c r="P43" s="39">
        <f t="shared" si="9"/>
        <v>23157.08588342262</v>
      </c>
      <c r="Q43" s="88">
        <f t="shared" si="10"/>
        <v>292398.40364788275</v>
      </c>
      <c r="R43" s="87"/>
    </row>
    <row r="44" spans="1:18" x14ac:dyDescent="0.45">
      <c r="A44" s="3">
        <v>20475</v>
      </c>
      <c r="B44" s="103">
        <f>A44/((1+$F$16)^($F$12-16))</f>
        <v>19334.071816298918</v>
      </c>
      <c r="C44" s="19">
        <f t="shared" si="11"/>
        <v>44475</v>
      </c>
      <c r="D44" s="26">
        <f t="shared" si="3"/>
        <v>16</v>
      </c>
      <c r="E44" s="34">
        <f t="shared" si="4"/>
        <v>424088.25463834102</v>
      </c>
      <c r="F44" s="107">
        <f t="shared" si="5"/>
        <v>-20475</v>
      </c>
      <c r="G44" s="47">
        <f t="shared" si="6"/>
        <v>1140.9281837010822</v>
      </c>
      <c r="H44" s="60">
        <f t="shared" si="7"/>
        <v>404754.18282204209</v>
      </c>
      <c r="J44" s="74">
        <f t="shared" si="0"/>
        <v>16</v>
      </c>
      <c r="K44" s="48">
        <f t="shared" si="8"/>
        <v>409357.76510703552</v>
      </c>
      <c r="L44" s="43">
        <f t="shared" si="12"/>
        <v>-19493.226909858851</v>
      </c>
      <c r="M44" s="75">
        <f t="shared" si="2"/>
        <v>389864.53819717665</v>
      </c>
      <c r="N44" s="32"/>
      <c r="O44" s="76">
        <f t="shared" si="9"/>
        <v>-321300</v>
      </c>
      <c r="P44" s="39">
        <f t="shared" si="9"/>
        <v>24298.014067123702</v>
      </c>
      <c r="Q44" s="88">
        <f t="shared" si="10"/>
        <v>311891.63055774162</v>
      </c>
      <c r="R44" s="87"/>
    </row>
    <row r="45" spans="1:18" x14ac:dyDescent="0.45">
      <c r="A45" s="3">
        <v>20475</v>
      </c>
      <c r="B45" s="103">
        <f>A45/((1+$F$16)^($F$12-17))</f>
        <v>19389.577978310863</v>
      </c>
      <c r="C45" s="19">
        <f t="shared" si="11"/>
        <v>44506</v>
      </c>
      <c r="D45" s="26">
        <f t="shared" si="3"/>
        <v>17</v>
      </c>
      <c r="E45" s="34">
        <f t="shared" si="4"/>
        <v>404754.18282204209</v>
      </c>
      <c r="F45" s="107">
        <f t="shared" si="5"/>
        <v>-20475</v>
      </c>
      <c r="G45" s="47">
        <f t="shared" si="6"/>
        <v>1085.4220216891372</v>
      </c>
      <c r="H45" s="60">
        <f t="shared" si="7"/>
        <v>385364.60484373121</v>
      </c>
      <c r="J45" s="74">
        <f t="shared" si="0"/>
        <v>17</v>
      </c>
      <c r="K45" s="48">
        <f t="shared" si="8"/>
        <v>389864.53819717665</v>
      </c>
      <c r="L45" s="43">
        <f t="shared" si="12"/>
        <v>-19493.226909858851</v>
      </c>
      <c r="M45" s="75">
        <f t="shared" si="2"/>
        <v>370371.31128731777</v>
      </c>
      <c r="N45" s="32"/>
      <c r="O45" s="76">
        <f t="shared" si="9"/>
        <v>-341775</v>
      </c>
      <c r="P45" s="39">
        <f t="shared" si="9"/>
        <v>25383.436088812839</v>
      </c>
      <c r="Q45" s="88">
        <f t="shared" si="10"/>
        <v>331384.85746760049</v>
      </c>
      <c r="R45" s="87"/>
    </row>
    <row r="46" spans="1:18" x14ac:dyDescent="0.45">
      <c r="A46" s="3">
        <v>20475</v>
      </c>
      <c r="B46" s="103">
        <f>A46/((1+$F$16)^($F$12-18))</f>
        <v>19445.243492892234</v>
      </c>
      <c r="C46" s="19">
        <f t="shared" si="11"/>
        <v>44536</v>
      </c>
      <c r="D46" s="26">
        <f t="shared" si="3"/>
        <v>18</v>
      </c>
      <c r="E46" s="34">
        <f t="shared" si="4"/>
        <v>385364.60484373121</v>
      </c>
      <c r="F46" s="107">
        <f t="shared" si="5"/>
        <v>-20475</v>
      </c>
      <c r="G46" s="47">
        <f t="shared" si="6"/>
        <v>1029.7565071077661</v>
      </c>
      <c r="H46" s="60">
        <f t="shared" si="7"/>
        <v>365919.36135083897</v>
      </c>
      <c r="J46" s="74">
        <f t="shared" si="0"/>
        <v>18</v>
      </c>
      <c r="K46" s="48">
        <f t="shared" si="8"/>
        <v>370371.31128731777</v>
      </c>
      <c r="L46" s="43">
        <f t="shared" si="12"/>
        <v>-19493.226909858851</v>
      </c>
      <c r="M46" s="75">
        <f t="shared" si="2"/>
        <v>350878.0843774589</v>
      </c>
      <c r="N46" s="32"/>
      <c r="O46" s="76">
        <f t="shared" ref="O46:P61" si="13">+O45+F46</f>
        <v>-362250</v>
      </c>
      <c r="P46" s="39">
        <f t="shared" si="13"/>
        <v>26413.192595920606</v>
      </c>
      <c r="Q46" s="88">
        <f t="shared" si="10"/>
        <v>350878.08437745937</v>
      </c>
      <c r="R46" s="87"/>
    </row>
    <row r="47" spans="1:18" x14ac:dyDescent="0.45">
      <c r="A47" s="3">
        <v>20475</v>
      </c>
      <c r="B47" s="103">
        <f>A47/((1+$F$16)^($F$12-19))</f>
        <v>19501.06881752811</v>
      </c>
      <c r="C47" s="19">
        <f t="shared" si="11"/>
        <v>44567</v>
      </c>
      <c r="D47" s="26">
        <f t="shared" si="3"/>
        <v>19</v>
      </c>
      <c r="E47" s="34">
        <f t="shared" si="4"/>
        <v>365919.36135083897</v>
      </c>
      <c r="F47" s="107">
        <f t="shared" si="5"/>
        <v>-20475</v>
      </c>
      <c r="G47" s="47">
        <f t="shared" si="6"/>
        <v>973.93118247188977</v>
      </c>
      <c r="H47" s="60">
        <f t="shared" si="7"/>
        <v>346418.29253331083</v>
      </c>
      <c r="J47" s="74">
        <f t="shared" si="0"/>
        <v>19</v>
      </c>
      <c r="K47" s="48">
        <f t="shared" si="8"/>
        <v>350878.0843774589</v>
      </c>
      <c r="L47" s="43">
        <f t="shared" si="12"/>
        <v>-19493.226909858851</v>
      </c>
      <c r="M47" s="75">
        <f t="shared" si="2"/>
        <v>331384.85746760003</v>
      </c>
      <c r="N47" s="32"/>
      <c r="O47" s="76">
        <f t="shared" si="13"/>
        <v>-382725</v>
      </c>
      <c r="P47" s="39">
        <f t="shared" si="13"/>
        <v>27387.123778392495</v>
      </c>
      <c r="Q47" s="88">
        <f t="shared" si="10"/>
        <v>370371.31128731824</v>
      </c>
      <c r="R47" s="87"/>
    </row>
    <row r="48" spans="1:18" x14ac:dyDescent="0.45">
      <c r="A48" s="3">
        <v>20475</v>
      </c>
      <c r="B48" s="103">
        <f>A48/((1+$F$16)^($F$12-20))</f>
        <v>19557.054411016976</v>
      </c>
      <c r="C48" s="19">
        <f t="shared" si="11"/>
        <v>44598</v>
      </c>
      <c r="D48" s="26">
        <f t="shared" si="3"/>
        <v>20</v>
      </c>
      <c r="E48" s="34">
        <f t="shared" si="4"/>
        <v>346418.29253331083</v>
      </c>
      <c r="F48" s="107">
        <f t="shared" si="5"/>
        <v>-20475</v>
      </c>
      <c r="G48" s="47">
        <f t="shared" si="6"/>
        <v>917.94558898302421</v>
      </c>
      <c r="H48" s="60">
        <f t="shared" si="7"/>
        <v>326861.23812229384</v>
      </c>
      <c r="J48" s="74">
        <f t="shared" si="0"/>
        <v>20</v>
      </c>
      <c r="K48" s="48">
        <f t="shared" si="8"/>
        <v>331384.85746760003</v>
      </c>
      <c r="L48" s="43">
        <f t="shared" si="12"/>
        <v>-19493.226909858851</v>
      </c>
      <c r="M48" s="75">
        <f t="shared" si="2"/>
        <v>311891.63055774115</v>
      </c>
      <c r="N48" s="32"/>
      <c r="O48" s="76">
        <f t="shared" si="13"/>
        <v>-403200</v>
      </c>
      <c r="P48" s="39">
        <f t="shared" si="13"/>
        <v>28305.06936737552</v>
      </c>
      <c r="Q48" s="88">
        <f t="shared" si="10"/>
        <v>389864.53819717711</v>
      </c>
      <c r="R48" s="87"/>
    </row>
    <row r="49" spans="1:18" x14ac:dyDescent="0.45">
      <c r="A49" s="3">
        <v>20475</v>
      </c>
      <c r="B49" s="103">
        <f>A49/((1+$F$16)^($F$12-21))</f>
        <v>19613.200733474474</v>
      </c>
      <c r="C49" s="19">
        <f t="shared" si="11"/>
        <v>44626</v>
      </c>
      <c r="D49" s="26">
        <f t="shared" si="3"/>
        <v>21</v>
      </c>
      <c r="E49" s="34">
        <f t="shared" si="4"/>
        <v>326861.23812229384</v>
      </c>
      <c r="F49" s="107">
        <f t="shared" si="5"/>
        <v>-20475</v>
      </c>
      <c r="G49" s="47">
        <f t="shared" si="6"/>
        <v>861.79926652552604</v>
      </c>
      <c r="H49" s="60">
        <f t="shared" si="7"/>
        <v>307248.03738881939</v>
      </c>
      <c r="J49" s="74">
        <f t="shared" si="0"/>
        <v>21</v>
      </c>
      <c r="K49" s="48">
        <f t="shared" si="8"/>
        <v>311891.63055774115</v>
      </c>
      <c r="L49" s="43">
        <f t="shared" si="12"/>
        <v>-19493.226909858851</v>
      </c>
      <c r="M49" s="75">
        <f t="shared" si="2"/>
        <v>292398.40364788228</v>
      </c>
      <c r="N49" s="80"/>
      <c r="O49" s="76">
        <f t="shared" si="13"/>
        <v>-423675</v>
      </c>
      <c r="P49" s="39">
        <f t="shared" si="13"/>
        <v>29166.868633901046</v>
      </c>
      <c r="Q49" s="88">
        <f t="shared" si="10"/>
        <v>409357.76510703599</v>
      </c>
      <c r="R49" s="87"/>
    </row>
    <row r="50" spans="1:18" x14ac:dyDescent="0.45">
      <c r="A50" s="3">
        <v>20475</v>
      </c>
      <c r="B50" s="103">
        <f>A50/((1+$F$16)^($F$12-22))</f>
        <v>19669.508246337202</v>
      </c>
      <c r="C50" s="19">
        <f t="shared" si="11"/>
        <v>44657</v>
      </c>
      <c r="D50" s="26">
        <f t="shared" si="3"/>
        <v>22</v>
      </c>
      <c r="E50" s="34">
        <f t="shared" si="4"/>
        <v>307248.03738881939</v>
      </c>
      <c r="F50" s="107">
        <f t="shared" si="5"/>
        <v>-20475</v>
      </c>
      <c r="G50" s="47">
        <f t="shared" si="6"/>
        <v>805.49175366279815</v>
      </c>
      <c r="H50" s="60">
        <f t="shared" si="7"/>
        <v>287578.52914248221</v>
      </c>
      <c r="J50" s="74">
        <f t="shared" si="0"/>
        <v>22</v>
      </c>
      <c r="K50" s="48">
        <f t="shared" si="8"/>
        <v>292398.40364788228</v>
      </c>
      <c r="L50" s="43">
        <f t="shared" si="12"/>
        <v>-19493.226909858851</v>
      </c>
      <c r="M50" s="75">
        <f t="shared" si="2"/>
        <v>272905.17673802341</v>
      </c>
      <c r="N50" s="32"/>
      <c r="O50" s="76">
        <f t="shared" si="13"/>
        <v>-444150</v>
      </c>
      <c r="P50" s="39">
        <f t="shared" si="13"/>
        <v>29972.360387563844</v>
      </c>
      <c r="Q50" s="88">
        <f t="shared" si="10"/>
        <v>428850.99201689486</v>
      </c>
      <c r="R50" s="32"/>
    </row>
    <row r="51" spans="1:18" x14ac:dyDescent="0.45">
      <c r="A51" s="3">
        <v>20475</v>
      </c>
      <c r="B51" s="103">
        <f>A51/((1+$F$16)^($F$12-23))</f>
        <v>19725.977412366483</v>
      </c>
      <c r="C51" s="19">
        <f t="shared" si="11"/>
        <v>44687</v>
      </c>
      <c r="D51" s="26">
        <f t="shared" si="3"/>
        <v>23</v>
      </c>
      <c r="E51" s="34">
        <f t="shared" si="4"/>
        <v>287578.52914248221</v>
      </c>
      <c r="F51" s="107">
        <f t="shared" si="5"/>
        <v>-20475</v>
      </c>
      <c r="G51" s="47">
        <f t="shared" si="6"/>
        <v>749.02258763351711</v>
      </c>
      <c r="H51" s="60">
        <f t="shared" si="7"/>
        <v>267852.55173011572</v>
      </c>
      <c r="J51" s="74">
        <f t="shared" si="0"/>
        <v>23</v>
      </c>
      <c r="K51" s="48">
        <f t="shared" si="8"/>
        <v>272905.17673802341</v>
      </c>
      <c r="L51" s="43">
        <f t="shared" si="12"/>
        <v>-19493.226909858851</v>
      </c>
      <c r="M51" s="75">
        <f t="shared" si="2"/>
        <v>253411.94982816456</v>
      </c>
      <c r="N51" s="32"/>
      <c r="O51" s="76">
        <f t="shared" si="13"/>
        <v>-464625</v>
      </c>
      <c r="P51" s="39">
        <f t="shared" si="13"/>
        <v>30721.382975197361</v>
      </c>
      <c r="Q51" s="88">
        <f t="shared" si="10"/>
        <v>448344.21892675373</v>
      </c>
      <c r="R51" s="32"/>
    </row>
    <row r="52" spans="1:18" x14ac:dyDescent="0.45">
      <c r="A52" s="3">
        <v>20475</v>
      </c>
      <c r="B52" s="103">
        <f>A52/((1+$F$16)^($F$12-24))</f>
        <v>19782.608695652176</v>
      </c>
      <c r="C52" s="19">
        <f t="shared" si="11"/>
        <v>44718</v>
      </c>
      <c r="D52" s="26">
        <f t="shared" si="3"/>
        <v>24</v>
      </c>
      <c r="E52" s="34">
        <f t="shared" si="4"/>
        <v>267852.55173011572</v>
      </c>
      <c r="F52" s="107">
        <f t="shared" si="5"/>
        <v>-20475</v>
      </c>
      <c r="G52" s="47">
        <f t="shared" si="6"/>
        <v>692.39130434782419</v>
      </c>
      <c r="H52" s="60">
        <f t="shared" si="7"/>
        <v>248069.94303446356</v>
      </c>
      <c r="J52" s="74">
        <f t="shared" si="0"/>
        <v>24</v>
      </c>
      <c r="K52" s="48">
        <f t="shared" si="8"/>
        <v>253411.94982816456</v>
      </c>
      <c r="L52" s="43">
        <f t="shared" si="12"/>
        <v>-19493.226909858851</v>
      </c>
      <c r="M52" s="75">
        <f t="shared" si="2"/>
        <v>233918.72291830572</v>
      </c>
      <c r="N52" s="32"/>
      <c r="O52" s="76">
        <f t="shared" si="13"/>
        <v>-485100</v>
      </c>
      <c r="P52" s="39">
        <f t="shared" si="13"/>
        <v>31413.774279545185</v>
      </c>
      <c r="Q52" s="88">
        <f t="shared" si="10"/>
        <v>467837.44583661261</v>
      </c>
      <c r="R52" s="32"/>
    </row>
    <row r="53" spans="1:18" x14ac:dyDescent="0.45">
      <c r="A53" s="3">
        <v>21000</v>
      </c>
      <c r="B53" s="103">
        <f>A53/((1+$F$16)^($F$12-25))</f>
        <v>20348.105191401559</v>
      </c>
      <c r="C53" s="19">
        <f t="shared" si="11"/>
        <v>44748</v>
      </c>
      <c r="D53" s="26">
        <f t="shared" si="3"/>
        <v>25</v>
      </c>
      <c r="E53" s="34">
        <f t="shared" si="4"/>
        <v>248069.94303446356</v>
      </c>
      <c r="F53" s="107">
        <f t="shared" si="5"/>
        <v>-21000</v>
      </c>
      <c r="G53" s="47">
        <f t="shared" si="6"/>
        <v>651.89480859844116</v>
      </c>
      <c r="H53" s="60">
        <f t="shared" si="7"/>
        <v>227721.83784306201</v>
      </c>
      <c r="J53" s="74">
        <f t="shared" si="0"/>
        <v>25</v>
      </c>
      <c r="K53" s="48">
        <f t="shared" si="8"/>
        <v>233918.72291830572</v>
      </c>
      <c r="L53" s="43">
        <f t="shared" si="12"/>
        <v>-19493.226909858851</v>
      </c>
      <c r="M53" s="75">
        <f t="shared" si="2"/>
        <v>214425.49600844688</v>
      </c>
      <c r="N53" s="32"/>
      <c r="O53" s="76">
        <f t="shared" si="13"/>
        <v>-506100</v>
      </c>
      <c r="P53" s="39">
        <f t="shared" si="13"/>
        <v>32065.669088143626</v>
      </c>
      <c r="Q53" s="88">
        <f t="shared" si="10"/>
        <v>487330.67274647148</v>
      </c>
      <c r="R53" s="32"/>
    </row>
    <row r="54" spans="1:18" x14ac:dyDescent="0.45">
      <c r="A54" s="3">
        <v>21000</v>
      </c>
      <c r="B54" s="103">
        <f>A54/((1+$F$16)^($F$12-26))</f>
        <v>20406.522540531187</v>
      </c>
      <c r="C54" s="19">
        <f t="shared" si="11"/>
        <v>44779</v>
      </c>
      <c r="D54" s="26">
        <f t="shared" si="3"/>
        <v>26</v>
      </c>
      <c r="E54" s="34">
        <f t="shared" si="4"/>
        <v>227721.83784306201</v>
      </c>
      <c r="F54" s="107">
        <f t="shared" si="5"/>
        <v>-21000</v>
      </c>
      <c r="G54" s="47">
        <f t="shared" si="6"/>
        <v>593.47745946881332</v>
      </c>
      <c r="H54" s="60">
        <f t="shared" si="7"/>
        <v>207315.31530253083</v>
      </c>
      <c r="J54" s="74">
        <f t="shared" si="0"/>
        <v>26</v>
      </c>
      <c r="K54" s="48">
        <f t="shared" si="8"/>
        <v>214425.49600844688</v>
      </c>
      <c r="L54" s="43">
        <f t="shared" si="12"/>
        <v>-19493.226909858851</v>
      </c>
      <c r="M54" s="75">
        <f t="shared" si="2"/>
        <v>194932.26909858803</v>
      </c>
      <c r="N54" s="32"/>
      <c r="O54" s="76">
        <f t="shared" si="13"/>
        <v>-527100</v>
      </c>
      <c r="P54" s="39">
        <f t="shared" si="13"/>
        <v>32659.146547612439</v>
      </c>
      <c r="Q54" s="88">
        <f t="shared" si="10"/>
        <v>506823.89965633035</v>
      </c>
      <c r="R54" s="32"/>
    </row>
    <row r="55" spans="1:18" x14ac:dyDescent="0.45">
      <c r="A55" s="3">
        <v>21000</v>
      </c>
      <c r="B55" s="103">
        <f>A55/((1+$F$16)^($F$12-27))</f>
        <v>20465.107599953604</v>
      </c>
      <c r="C55" s="19">
        <f t="shared" si="11"/>
        <v>44810</v>
      </c>
      <c r="D55" s="26">
        <f t="shared" si="3"/>
        <v>27</v>
      </c>
      <c r="E55" s="34">
        <f t="shared" si="4"/>
        <v>207315.31530253083</v>
      </c>
      <c r="F55" s="107">
        <f t="shared" si="5"/>
        <v>-21000</v>
      </c>
      <c r="G55" s="47">
        <f t="shared" si="6"/>
        <v>534.89240004639578</v>
      </c>
      <c r="H55" s="60">
        <f t="shared" si="7"/>
        <v>186850.20770257723</v>
      </c>
      <c r="J55" s="74">
        <f t="shared" si="0"/>
        <v>27</v>
      </c>
      <c r="K55" s="48">
        <f t="shared" si="8"/>
        <v>194932.26909858803</v>
      </c>
      <c r="L55" s="43">
        <f t="shared" si="12"/>
        <v>-19493.226909858851</v>
      </c>
      <c r="M55" s="75">
        <f t="shared" si="2"/>
        <v>175439.04218872919</v>
      </c>
      <c r="N55" s="32"/>
      <c r="O55" s="76">
        <f t="shared" si="13"/>
        <v>-548100</v>
      </c>
      <c r="P55" s="39">
        <f t="shared" si="13"/>
        <v>33194.038947658832</v>
      </c>
      <c r="Q55" s="88">
        <f t="shared" si="10"/>
        <v>526317.12656618922</v>
      </c>
      <c r="R55" s="32"/>
    </row>
    <row r="56" spans="1:18" x14ac:dyDescent="0.45">
      <c r="A56" s="3">
        <v>21000</v>
      </c>
      <c r="B56" s="103">
        <f>A56/((1+$F$16)^($F$12-28))</f>
        <v>20523.860851148078</v>
      </c>
      <c r="C56" s="19">
        <f t="shared" si="11"/>
        <v>44840</v>
      </c>
      <c r="D56" s="26">
        <f t="shared" si="3"/>
        <v>28</v>
      </c>
      <c r="E56" s="34">
        <f t="shared" si="4"/>
        <v>186850.20770257723</v>
      </c>
      <c r="F56" s="107">
        <f t="shared" si="5"/>
        <v>-21000</v>
      </c>
      <c r="G56" s="47">
        <f t="shared" si="6"/>
        <v>476.13914885192207</v>
      </c>
      <c r="H56" s="60">
        <f t="shared" si="7"/>
        <v>166326.34685142915</v>
      </c>
      <c r="J56" s="74">
        <f t="shared" si="0"/>
        <v>28</v>
      </c>
      <c r="K56" s="48">
        <f t="shared" si="8"/>
        <v>175439.04218872919</v>
      </c>
      <c r="L56" s="43">
        <f t="shared" si="12"/>
        <v>-19493.226909858851</v>
      </c>
      <c r="M56" s="75">
        <f t="shared" si="2"/>
        <v>155945.81527887034</v>
      </c>
      <c r="N56" s="32"/>
      <c r="O56" s="76">
        <f t="shared" si="13"/>
        <v>-569100</v>
      </c>
      <c r="P56" s="39">
        <f t="shared" si="13"/>
        <v>33670.178096510754</v>
      </c>
      <c r="Q56" s="88">
        <f t="shared" si="10"/>
        <v>545810.3534760481</v>
      </c>
      <c r="R56" s="32"/>
    </row>
    <row r="57" spans="1:18" x14ac:dyDescent="0.45">
      <c r="A57" s="3">
        <v>21000</v>
      </c>
      <c r="B57" s="103">
        <f>A57/((1+$F$16)^($F$12-29))</f>
        <v>20582.782776976146</v>
      </c>
      <c r="C57" s="19">
        <f t="shared" si="11"/>
        <v>44871</v>
      </c>
      <c r="D57" s="26">
        <f t="shared" si="3"/>
        <v>29</v>
      </c>
      <c r="E57" s="34">
        <f t="shared" si="4"/>
        <v>166326.34685142915</v>
      </c>
      <c r="F57" s="107">
        <f t="shared" si="5"/>
        <v>-21000</v>
      </c>
      <c r="G57" s="47">
        <f t="shared" si="6"/>
        <v>417.21722302385388</v>
      </c>
      <c r="H57" s="60">
        <f t="shared" si="7"/>
        <v>145743.564074453</v>
      </c>
      <c r="J57" s="74">
        <f t="shared" si="0"/>
        <v>29</v>
      </c>
      <c r="K57" s="48">
        <f t="shared" si="8"/>
        <v>155945.81527887034</v>
      </c>
      <c r="L57" s="43">
        <f t="shared" si="12"/>
        <v>-19493.226909858851</v>
      </c>
      <c r="M57" s="75">
        <f t="shared" si="2"/>
        <v>136452.5883690115</v>
      </c>
      <c r="N57" s="32"/>
      <c r="O57" s="76">
        <f t="shared" si="13"/>
        <v>-590100</v>
      </c>
      <c r="P57" s="39">
        <f t="shared" si="13"/>
        <v>34087.395319534611</v>
      </c>
      <c r="Q57" s="88">
        <f t="shared" si="10"/>
        <v>565303.58038590697</v>
      </c>
      <c r="R57" s="32"/>
    </row>
    <row r="58" spans="1:18" x14ac:dyDescent="0.45">
      <c r="A58" s="3">
        <v>21000</v>
      </c>
      <c r="B58" s="103">
        <f>A58/((1+$F$16)^($F$12-30))</f>
        <v>20641.873861685599</v>
      </c>
      <c r="C58" s="19">
        <f t="shared" si="11"/>
        <v>44901</v>
      </c>
      <c r="D58" s="26">
        <f t="shared" si="3"/>
        <v>30</v>
      </c>
      <c r="E58" s="34">
        <f t="shared" si="4"/>
        <v>145743.564074453</v>
      </c>
      <c r="F58" s="107">
        <f t="shared" si="5"/>
        <v>-21000</v>
      </c>
      <c r="G58" s="47">
        <f t="shared" si="6"/>
        <v>358.12613831440103</v>
      </c>
      <c r="H58" s="60">
        <f t="shared" si="7"/>
        <v>125101.6902127674</v>
      </c>
      <c r="J58" s="74">
        <f t="shared" si="0"/>
        <v>30</v>
      </c>
      <c r="K58" s="48">
        <f t="shared" si="8"/>
        <v>136452.5883690115</v>
      </c>
      <c r="L58" s="43">
        <f t="shared" si="12"/>
        <v>-19493.226909858851</v>
      </c>
      <c r="M58" s="75">
        <f t="shared" si="2"/>
        <v>116959.36145915266</v>
      </c>
      <c r="N58" s="32"/>
      <c r="O58" s="76">
        <f t="shared" si="13"/>
        <v>-611100</v>
      </c>
      <c r="P58" s="39">
        <f t="shared" si="13"/>
        <v>34445.521457849012</v>
      </c>
      <c r="Q58" s="88">
        <f t="shared" si="10"/>
        <v>584796.80729576584</v>
      </c>
      <c r="R58" s="32"/>
    </row>
    <row r="59" spans="1:18" x14ac:dyDescent="0.45">
      <c r="A59" s="3">
        <v>21000</v>
      </c>
      <c r="B59" s="103">
        <f>A59/((1+$F$16)^($F$12-31))</f>
        <v>20701.134590914455</v>
      </c>
      <c r="C59" s="19">
        <f t="shared" si="11"/>
        <v>44932</v>
      </c>
      <c r="D59" s="26">
        <f t="shared" si="3"/>
        <v>31</v>
      </c>
      <c r="E59" s="34">
        <f t="shared" si="4"/>
        <v>125101.6902127674</v>
      </c>
      <c r="F59" s="107">
        <f t="shared" si="5"/>
        <v>-21000</v>
      </c>
      <c r="G59" s="47">
        <f t="shared" si="6"/>
        <v>298.86540908554525</v>
      </c>
      <c r="H59" s="60">
        <f t="shared" si="7"/>
        <v>104400.55562185294</v>
      </c>
      <c r="J59" s="74">
        <f t="shared" si="0"/>
        <v>31</v>
      </c>
      <c r="K59" s="48">
        <f t="shared" si="8"/>
        <v>116959.36145915266</v>
      </c>
      <c r="L59" s="43">
        <f t="shared" si="12"/>
        <v>-19493.226909858851</v>
      </c>
      <c r="M59" s="75">
        <f t="shared" si="2"/>
        <v>97466.134549293813</v>
      </c>
      <c r="N59" s="32"/>
      <c r="O59" s="76">
        <f t="shared" si="13"/>
        <v>-632100</v>
      </c>
      <c r="P59" s="39">
        <f t="shared" si="13"/>
        <v>34744.386866934554</v>
      </c>
      <c r="Q59" s="88">
        <f t="shared" si="10"/>
        <v>604290.03420562472</v>
      </c>
      <c r="R59" s="32"/>
    </row>
    <row r="60" spans="1:18" x14ac:dyDescent="0.45">
      <c r="A60" s="3">
        <v>21000</v>
      </c>
      <c r="B60" s="103">
        <f>A60/((1+$F$16)^($F$12-32))</f>
        <v>20760.565451694943</v>
      </c>
      <c r="C60" s="19">
        <f t="shared" si="11"/>
        <v>44963</v>
      </c>
      <c r="D60" s="26">
        <f t="shared" si="3"/>
        <v>32</v>
      </c>
      <c r="E60" s="34">
        <f t="shared" si="4"/>
        <v>104400.55562185294</v>
      </c>
      <c r="F60" s="107">
        <f t="shared" si="5"/>
        <v>-21000</v>
      </c>
      <c r="G60" s="47">
        <f t="shared" si="6"/>
        <v>239.43454830505652</v>
      </c>
      <c r="H60" s="60">
        <f t="shared" si="7"/>
        <v>83639.990170157995</v>
      </c>
      <c r="J60" s="74">
        <f t="shared" si="0"/>
        <v>32</v>
      </c>
      <c r="K60" s="48">
        <f t="shared" si="8"/>
        <v>97466.134549293813</v>
      </c>
      <c r="L60" s="43">
        <f t="shared" si="12"/>
        <v>-19493.226909858851</v>
      </c>
      <c r="M60" s="75">
        <f t="shared" si="2"/>
        <v>77972.907639434969</v>
      </c>
      <c r="N60" s="32"/>
      <c r="O60" s="76">
        <f t="shared" si="13"/>
        <v>-653100</v>
      </c>
      <c r="P60" s="39">
        <f t="shared" si="13"/>
        <v>34983.82141523961</v>
      </c>
      <c r="Q60" s="88">
        <f t="shared" si="10"/>
        <v>623783.26111548359</v>
      </c>
      <c r="R60" s="32"/>
    </row>
    <row r="61" spans="1:18" x14ac:dyDescent="0.45">
      <c r="A61" s="3">
        <v>21000</v>
      </c>
      <c r="B61" s="103">
        <f>A61/((1+$F$16)^($F$12-33))</f>
        <v>20820.16693245752</v>
      </c>
      <c r="C61" s="19">
        <f t="shared" si="11"/>
        <v>44991</v>
      </c>
      <c r="D61" s="26">
        <f t="shared" si="3"/>
        <v>33</v>
      </c>
      <c r="E61" s="34">
        <f t="shared" si="4"/>
        <v>83639.990170157995</v>
      </c>
      <c r="F61" s="107">
        <f t="shared" si="5"/>
        <v>-21000</v>
      </c>
      <c r="G61" s="47">
        <f t="shared" si="6"/>
        <v>179.83306754248042</v>
      </c>
      <c r="H61" s="60">
        <f t="shared" si="7"/>
        <v>62819.823237700475</v>
      </c>
      <c r="J61" s="74">
        <f t="shared" si="0"/>
        <v>33</v>
      </c>
      <c r="K61" s="48">
        <f t="shared" si="8"/>
        <v>77972.907639434969</v>
      </c>
      <c r="L61" s="43">
        <f t="shared" si="12"/>
        <v>-19493.226909858851</v>
      </c>
      <c r="M61" s="75">
        <f t="shared" si="2"/>
        <v>58479.680729576117</v>
      </c>
      <c r="N61" s="32"/>
      <c r="O61" s="76">
        <f t="shared" si="13"/>
        <v>-674100</v>
      </c>
      <c r="P61" s="39">
        <f t="shared" si="13"/>
        <v>35163.654482782091</v>
      </c>
      <c r="Q61" s="88">
        <f t="shared" si="10"/>
        <v>643276.48802534246</v>
      </c>
      <c r="R61" s="32"/>
    </row>
    <row r="62" spans="1:18" x14ac:dyDescent="0.45">
      <c r="A62" s="3">
        <v>21000</v>
      </c>
      <c r="B62" s="103">
        <f>A62/((1+$F$16)^($F$12-34))</f>
        <v>20879.939523034875</v>
      </c>
      <c r="C62" s="19">
        <f t="shared" si="11"/>
        <v>45022</v>
      </c>
      <c r="D62" s="26">
        <f t="shared" si="3"/>
        <v>34</v>
      </c>
      <c r="E62" s="34">
        <f t="shared" si="4"/>
        <v>62819.823237700475</v>
      </c>
      <c r="F62" s="107">
        <f t="shared" si="5"/>
        <v>-21000</v>
      </c>
      <c r="G62" s="47">
        <f t="shared" si="6"/>
        <v>120.06047696512542</v>
      </c>
      <c r="H62" s="60">
        <f t="shared" si="7"/>
        <v>41939.883714665601</v>
      </c>
      <c r="J62" s="74">
        <f t="shared" si="0"/>
        <v>34</v>
      </c>
      <c r="K62" s="48">
        <f t="shared" si="8"/>
        <v>58479.680729576117</v>
      </c>
      <c r="L62" s="43">
        <f t="shared" si="12"/>
        <v>-19493.226909858851</v>
      </c>
      <c r="M62" s="75">
        <f t="shared" si="2"/>
        <v>38986.453819717266</v>
      </c>
      <c r="N62" s="32"/>
      <c r="O62" s="76">
        <f t="shared" ref="O62:P64" si="14">+O61+F62</f>
        <v>-695100</v>
      </c>
      <c r="P62" s="39">
        <f t="shared" si="14"/>
        <v>35283.714959747216</v>
      </c>
      <c r="Q62" s="88">
        <f t="shared" si="10"/>
        <v>662769.71493520134</v>
      </c>
      <c r="R62" s="32"/>
    </row>
    <row r="63" spans="1:18" x14ac:dyDescent="0.45">
      <c r="A63" s="3">
        <v>21000</v>
      </c>
      <c r="B63" s="103">
        <f>A63/((1+$F$16)^($F$12-35))</f>
        <v>20939.883714665953</v>
      </c>
      <c r="C63" s="19">
        <f t="shared" si="11"/>
        <v>45052</v>
      </c>
      <c r="D63" s="26">
        <f t="shared" si="3"/>
        <v>35</v>
      </c>
      <c r="E63" s="34">
        <f t="shared" si="4"/>
        <v>41939.883714665601</v>
      </c>
      <c r="F63" s="107">
        <f t="shared" si="5"/>
        <v>-21000</v>
      </c>
      <c r="G63" s="47">
        <f t="shared" si="6"/>
        <v>60.116285334046552</v>
      </c>
      <c r="H63" s="60">
        <f t="shared" si="7"/>
        <v>20999.999999999647</v>
      </c>
      <c r="J63" s="74">
        <f t="shared" si="0"/>
        <v>35</v>
      </c>
      <c r="K63" s="48">
        <f t="shared" si="8"/>
        <v>38986.453819717266</v>
      </c>
      <c r="L63" s="43">
        <f t="shared" si="12"/>
        <v>-19493.226909858851</v>
      </c>
      <c r="M63" s="75">
        <f t="shared" si="2"/>
        <v>19493.226909858415</v>
      </c>
      <c r="N63" s="32"/>
      <c r="O63" s="76">
        <f t="shared" si="14"/>
        <v>-716100</v>
      </c>
      <c r="P63" s="39">
        <f t="shared" si="14"/>
        <v>35343.831245081266</v>
      </c>
      <c r="Q63" s="88">
        <f t="shared" si="10"/>
        <v>682262.94184506021</v>
      </c>
      <c r="R63" s="32"/>
    </row>
    <row r="64" spans="1:18" x14ac:dyDescent="0.45">
      <c r="A64" s="3">
        <v>21000</v>
      </c>
      <c r="B64" s="103">
        <f>A64/((1+$F$16)^($F$12-36))</f>
        <v>21000</v>
      </c>
      <c r="C64" s="19">
        <f t="shared" si="11"/>
        <v>45083</v>
      </c>
      <c r="D64" s="26">
        <f t="shared" si="3"/>
        <v>36</v>
      </c>
      <c r="E64" s="34">
        <f t="shared" si="4"/>
        <v>20999.999999999647</v>
      </c>
      <c r="F64" s="107">
        <f t="shared" si="5"/>
        <v>-21000</v>
      </c>
      <c r="G64" s="47">
        <f t="shared" si="6"/>
        <v>0</v>
      </c>
      <c r="H64" s="60">
        <f t="shared" si="7"/>
        <v>-3.5288394428789616E-10</v>
      </c>
      <c r="J64" s="74">
        <f t="shared" si="0"/>
        <v>36</v>
      </c>
      <c r="K64" s="48">
        <f t="shared" si="8"/>
        <v>19493.226909858415</v>
      </c>
      <c r="L64" s="43">
        <f t="shared" si="12"/>
        <v>-19493.226909858851</v>
      </c>
      <c r="M64" s="75">
        <f t="shared" si="2"/>
        <v>-4.3655745685100555E-10</v>
      </c>
      <c r="N64" s="32"/>
      <c r="O64" s="76">
        <f t="shared" si="14"/>
        <v>-737100</v>
      </c>
      <c r="P64" s="39">
        <f t="shared" si="14"/>
        <v>35343.831245081266</v>
      </c>
      <c r="Q64" s="88">
        <f t="shared" si="10"/>
        <v>701756.16875491908</v>
      </c>
      <c r="R64" s="32"/>
    </row>
    <row r="65" spans="2:18" x14ac:dyDescent="0.45">
      <c r="B65" s="7"/>
      <c r="C65" s="19">
        <f t="shared" si="11"/>
        <v>45113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45144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45175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45205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45236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45266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45297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45328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45357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45388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45418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45449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45479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45510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45541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45571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45602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45632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45663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45694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45722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45753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45783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45814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45844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45875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45906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45936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45967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45997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5">DATE(YEAR(C94),MONTH(C94)+1,DAY(C94))</f>
        <v>46028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5"/>
        <v>46059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5"/>
        <v>46087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5"/>
        <v>46118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5"/>
        <v>46148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5"/>
        <v>46179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5"/>
        <v>46209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5"/>
        <v>46240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5"/>
        <v>46271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5"/>
        <v>46301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5"/>
        <v>46332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5"/>
        <v>46362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5"/>
        <v>46393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-737100</v>
      </c>
      <c r="G110" s="43">
        <f>SUM(G29:G107)</f>
        <v>35343.831245081266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584796.80729576538</v>
      </c>
      <c r="G116" s="119">
        <f>INDEX(M:M,MATCH(DATE(2021,12,DAY(D10)),C:C))</f>
        <v>350878.0843774589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-226784.23658038559</v>
      </c>
      <c r="G119" s="113">
        <f ca="1">IFERROR(SUM(INDIRECT("F"&amp;MATCH(DATE(2022,1,DAY(D10)),C:C)):INDIRECT("G"&amp;MATCH(DATE(2022,1,DAY(D10)),C:C)+11)),VALUE("0"))</f>
        <v>-240817.67113807157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-365919.36135083932</v>
      </c>
      <c r="G123" s="113">
        <f ca="1">IFERROR(SUM(INDIRECT("F"&amp;MATCH(DATE(2023,1,DAY(D10)),C:C)):G107),VALUE("0"))</f>
        <v>-125101.69021276775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-248850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-126000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8783A-AB53-4C72-B1AD-B8F56C467B50}">
  <dimension ref="B1:R130"/>
  <sheetViews>
    <sheetView topLeftCell="A109"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148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35005.599999999999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44515</v>
      </c>
      <c r="E10" s="12">
        <f>VLOOKUP($C$2,'Lease Summary'!D:H,4,FALSE)</f>
        <v>45610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35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35005.599999999999</v>
      </c>
      <c r="G22" s="7" t="s">
        <v>229</v>
      </c>
      <c r="H22" s="53">
        <f>-PV(F16,F12,F22,0,1)</f>
        <v>1199070.143327544</v>
      </c>
      <c r="J22" s="17" t="s">
        <v>234</v>
      </c>
      <c r="K22" s="22"/>
      <c r="L22" s="7"/>
      <c r="M22" s="65">
        <f>H22</f>
        <v>1199070.143327544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44515</v>
      </c>
      <c r="D29" s="27">
        <v>1</v>
      </c>
      <c r="E29" s="33">
        <f>H22</f>
        <v>1199070.143327544</v>
      </c>
      <c r="F29" s="42">
        <f>-D7</f>
        <v>-35005.599999999999</v>
      </c>
      <c r="G29" s="46">
        <f t="shared" ref="G29:G40" si="0">((E29+F29)*($F$16))</f>
        <v>3341.9114063615821</v>
      </c>
      <c r="H29" s="59">
        <f>SUM(E29:G29)</f>
        <v>1167406.4547339054</v>
      </c>
      <c r="J29" s="69">
        <f t="shared" ref="J29:J64" si="1">D29</f>
        <v>1</v>
      </c>
      <c r="K29" s="70">
        <f>M22</f>
        <v>1199070.143327544</v>
      </c>
      <c r="L29" s="42">
        <f t="shared" ref="L29:L40" si="2">-$M$22/$F$12</f>
        <v>-33307.503981320668</v>
      </c>
      <c r="M29" s="71">
        <f t="shared" ref="M29:M64" si="3">K29+L29</f>
        <v>1165762.6393462233</v>
      </c>
      <c r="N29" s="32"/>
      <c r="O29" s="72">
        <f>+F29</f>
        <v>-35005.599999999999</v>
      </c>
      <c r="P29" s="73">
        <f>+G29</f>
        <v>3341.9114063615821</v>
      </c>
      <c r="Q29" s="71">
        <f>-L29</f>
        <v>33307.503981320668</v>
      </c>
      <c r="R29" s="85"/>
    </row>
    <row r="30" spans="2:18" x14ac:dyDescent="0.45">
      <c r="B30" s="7"/>
      <c r="C30" s="19">
        <f>DATE(YEAR(C29),MONTH(C29)+1,DAY(C29))</f>
        <v>44545</v>
      </c>
      <c r="D30" s="26">
        <f t="shared" ref="D30:D64" si="4">D29+1</f>
        <v>2</v>
      </c>
      <c r="E30" s="34">
        <f t="shared" ref="E30:E64" si="5">H29</f>
        <v>1167406.4547339054</v>
      </c>
      <c r="F30" s="43">
        <f t="shared" ref="F30:F64" si="6">F29</f>
        <v>-35005.599999999999</v>
      </c>
      <c r="G30" s="47">
        <f t="shared" si="0"/>
        <v>3251.0081633368636</v>
      </c>
      <c r="H30" s="60">
        <f t="shared" ref="H30:H64" si="7">SUM(E30:G30)</f>
        <v>1135651.8628972422</v>
      </c>
      <c r="J30" s="74">
        <f t="shared" si="1"/>
        <v>2</v>
      </c>
      <c r="K30" s="48">
        <f t="shared" ref="K30:K64" si="8">M29</f>
        <v>1165762.6393462233</v>
      </c>
      <c r="L30" s="43">
        <f t="shared" si="2"/>
        <v>-33307.503981320668</v>
      </c>
      <c r="M30" s="75">
        <f t="shared" si="3"/>
        <v>1132455.1353649027</v>
      </c>
      <c r="N30" s="32"/>
      <c r="O30" s="76">
        <f t="shared" ref="O30:P45" si="9">+O29+F30</f>
        <v>-70011.199999999997</v>
      </c>
      <c r="P30" s="77">
        <f t="shared" si="9"/>
        <v>6592.9195696984461</v>
      </c>
      <c r="Q30" s="75">
        <f t="shared" ref="Q30:Q64" si="10">+Q29-L30</f>
        <v>66615.007962641335</v>
      </c>
      <c r="R30" s="86"/>
    </row>
    <row r="31" spans="2:18" x14ac:dyDescent="0.45">
      <c r="B31" s="7"/>
      <c r="C31" s="19">
        <f t="shared" ref="C31:C94" si="11">DATE(YEAR(C30),MONTH(C30)+1,DAY(C30))</f>
        <v>44576</v>
      </c>
      <c r="D31" s="26">
        <f t="shared" si="4"/>
        <v>3</v>
      </c>
      <c r="E31" s="34">
        <f t="shared" si="5"/>
        <v>1135651.8628972422</v>
      </c>
      <c r="F31" s="43">
        <f t="shared" si="6"/>
        <v>-35005.599999999999</v>
      </c>
      <c r="G31" s="47">
        <f t="shared" si="0"/>
        <v>3159.8439463081854</v>
      </c>
      <c r="H31" s="60">
        <f t="shared" si="7"/>
        <v>1103806.1068435502</v>
      </c>
      <c r="J31" s="74">
        <f t="shared" si="1"/>
        <v>3</v>
      </c>
      <c r="K31" s="48">
        <f t="shared" si="8"/>
        <v>1132455.1353649027</v>
      </c>
      <c r="L31" s="43">
        <f t="shared" si="2"/>
        <v>-33307.503981320668</v>
      </c>
      <c r="M31" s="75">
        <f t="shared" si="3"/>
        <v>1099147.631383582</v>
      </c>
      <c r="N31" s="32"/>
      <c r="O31" s="76">
        <f t="shared" si="9"/>
        <v>-105016.79999999999</v>
      </c>
      <c r="P31" s="39">
        <f t="shared" si="9"/>
        <v>9752.7635160066311</v>
      </c>
      <c r="Q31" s="88">
        <f t="shared" si="10"/>
        <v>99922.511943962003</v>
      </c>
      <c r="R31" s="86"/>
    </row>
    <row r="32" spans="2:18" x14ac:dyDescent="0.45">
      <c r="B32" s="7"/>
      <c r="C32" s="19">
        <f t="shared" si="11"/>
        <v>44607</v>
      </c>
      <c r="D32" s="26">
        <f t="shared" si="4"/>
        <v>4</v>
      </c>
      <c r="E32" s="34">
        <f t="shared" si="5"/>
        <v>1103806.1068435502</v>
      </c>
      <c r="F32" s="43">
        <f t="shared" si="6"/>
        <v>-35005.599999999999</v>
      </c>
      <c r="G32" s="47">
        <f t="shared" si="0"/>
        <v>3068.4180060456142</v>
      </c>
      <c r="H32" s="60">
        <f t="shared" si="7"/>
        <v>1071868.9248495956</v>
      </c>
      <c r="J32" s="74">
        <f t="shared" si="1"/>
        <v>4</v>
      </c>
      <c r="K32" s="48">
        <f t="shared" si="8"/>
        <v>1099147.631383582</v>
      </c>
      <c r="L32" s="43">
        <f t="shared" si="2"/>
        <v>-33307.503981320668</v>
      </c>
      <c r="M32" s="75">
        <f t="shared" si="3"/>
        <v>1065840.1274022614</v>
      </c>
      <c r="N32" s="32"/>
      <c r="O32" s="76">
        <f t="shared" si="9"/>
        <v>-140022.39999999999</v>
      </c>
      <c r="P32" s="39">
        <f t="shared" si="9"/>
        <v>12821.181522052246</v>
      </c>
      <c r="Q32" s="88">
        <f t="shared" si="10"/>
        <v>133230.01592528267</v>
      </c>
      <c r="R32" s="86"/>
    </row>
    <row r="33" spans="2:18" x14ac:dyDescent="0.45">
      <c r="B33" s="7"/>
      <c r="C33" s="19">
        <f t="shared" si="11"/>
        <v>44635</v>
      </c>
      <c r="D33" s="26">
        <f t="shared" si="4"/>
        <v>5</v>
      </c>
      <c r="E33" s="34">
        <f t="shared" si="5"/>
        <v>1071868.9248495956</v>
      </c>
      <c r="F33" s="43">
        <f t="shared" si="6"/>
        <v>-35005.599999999999</v>
      </c>
      <c r="G33" s="47">
        <f t="shared" si="0"/>
        <v>2976.7295911682527</v>
      </c>
      <c r="H33" s="60">
        <f t="shared" si="7"/>
        <v>1039840.0544407639</v>
      </c>
      <c r="J33" s="74">
        <f t="shared" si="1"/>
        <v>5</v>
      </c>
      <c r="K33" s="48">
        <f t="shared" si="8"/>
        <v>1065840.1274022614</v>
      </c>
      <c r="L33" s="43">
        <f t="shared" si="2"/>
        <v>-33307.503981320668</v>
      </c>
      <c r="M33" s="75">
        <f t="shared" si="3"/>
        <v>1032532.6234209407</v>
      </c>
      <c r="N33" s="32"/>
      <c r="O33" s="76">
        <f t="shared" si="9"/>
        <v>-175028</v>
      </c>
      <c r="P33" s="39">
        <f t="shared" si="9"/>
        <v>15797.911113220498</v>
      </c>
      <c r="Q33" s="88">
        <f t="shared" si="10"/>
        <v>166537.51990660332</v>
      </c>
      <c r="R33" s="86"/>
    </row>
    <row r="34" spans="2:18" x14ac:dyDescent="0.45">
      <c r="B34" s="7"/>
      <c r="C34" s="19">
        <f t="shared" si="11"/>
        <v>44666</v>
      </c>
      <c r="D34" s="26">
        <f t="shared" si="4"/>
        <v>6</v>
      </c>
      <c r="E34" s="34">
        <f t="shared" si="5"/>
        <v>1039840.0544407639</v>
      </c>
      <c r="F34" s="43">
        <f t="shared" si="6"/>
        <v>-35005.599999999999</v>
      </c>
      <c r="G34" s="47">
        <f t="shared" si="0"/>
        <v>2884.7779481380658</v>
      </c>
      <c r="H34" s="60">
        <f t="shared" si="7"/>
        <v>1007719.232388902</v>
      </c>
      <c r="J34" s="74">
        <f t="shared" si="1"/>
        <v>6</v>
      </c>
      <c r="K34" s="48">
        <f t="shared" si="8"/>
        <v>1032532.6234209407</v>
      </c>
      <c r="L34" s="43">
        <f t="shared" si="2"/>
        <v>-33307.503981320668</v>
      </c>
      <c r="M34" s="75">
        <f t="shared" si="3"/>
        <v>999225.11943962006</v>
      </c>
      <c r="N34" s="32"/>
      <c r="O34" s="76">
        <f t="shared" si="9"/>
        <v>-210033.6</v>
      </c>
      <c r="P34" s="39">
        <f t="shared" si="9"/>
        <v>18682.689061358564</v>
      </c>
      <c r="Q34" s="88">
        <f t="shared" si="10"/>
        <v>199845.02388792398</v>
      </c>
      <c r="R34" s="86"/>
    </row>
    <row r="35" spans="2:18" x14ac:dyDescent="0.45">
      <c r="B35" s="7"/>
      <c r="C35" s="19">
        <f t="shared" si="11"/>
        <v>44696</v>
      </c>
      <c r="D35" s="26">
        <f t="shared" si="4"/>
        <v>7</v>
      </c>
      <c r="E35" s="34">
        <f t="shared" si="5"/>
        <v>1007719.232388902</v>
      </c>
      <c r="F35" s="43">
        <f t="shared" si="6"/>
        <v>-35005.599999999999</v>
      </c>
      <c r="G35" s="47">
        <f t="shared" si="0"/>
        <v>2792.5623212536866</v>
      </c>
      <c r="H35" s="60">
        <f t="shared" si="7"/>
        <v>975506.19471015572</v>
      </c>
      <c r="J35" s="74">
        <f t="shared" si="1"/>
        <v>7</v>
      </c>
      <c r="K35" s="48">
        <f t="shared" si="8"/>
        <v>999225.11943962006</v>
      </c>
      <c r="L35" s="43">
        <f t="shared" si="2"/>
        <v>-33307.503981320668</v>
      </c>
      <c r="M35" s="75">
        <f t="shared" si="3"/>
        <v>965917.61545829941</v>
      </c>
      <c r="N35" s="32"/>
      <c r="O35" s="76">
        <f t="shared" si="9"/>
        <v>-245039.2</v>
      </c>
      <c r="P35" s="39">
        <f t="shared" si="9"/>
        <v>21475.251382612252</v>
      </c>
      <c r="Q35" s="88">
        <f t="shared" si="10"/>
        <v>233152.52786924463</v>
      </c>
      <c r="R35" s="86"/>
    </row>
    <row r="36" spans="2:18" x14ac:dyDescent="0.45">
      <c r="B36" s="7"/>
      <c r="C36" s="19">
        <f t="shared" si="11"/>
        <v>44727</v>
      </c>
      <c r="D36" s="26">
        <f t="shared" si="4"/>
        <v>8</v>
      </c>
      <c r="E36" s="34">
        <f t="shared" si="5"/>
        <v>975506.19471015572</v>
      </c>
      <c r="F36" s="43">
        <f t="shared" si="6"/>
        <v>-35005.599999999999</v>
      </c>
      <c r="G36" s="47">
        <f t="shared" si="0"/>
        <v>2700.0819526442065</v>
      </c>
      <c r="H36" s="60">
        <f t="shared" si="7"/>
        <v>943200.6766627999</v>
      </c>
      <c r="J36" s="74">
        <f t="shared" si="1"/>
        <v>8</v>
      </c>
      <c r="K36" s="48">
        <f t="shared" si="8"/>
        <v>965917.61545829941</v>
      </c>
      <c r="L36" s="43">
        <f t="shared" si="2"/>
        <v>-33307.503981320668</v>
      </c>
      <c r="M36" s="75">
        <f t="shared" si="3"/>
        <v>932610.11147697875</v>
      </c>
      <c r="N36" s="32"/>
      <c r="O36" s="76">
        <f t="shared" si="9"/>
        <v>-280044.79999999999</v>
      </c>
      <c r="P36" s="39">
        <f t="shared" si="9"/>
        <v>24175.333335256459</v>
      </c>
      <c r="Q36" s="88">
        <f t="shared" si="10"/>
        <v>266460.03185056528</v>
      </c>
      <c r="R36" s="86"/>
    </row>
    <row r="37" spans="2:18" x14ac:dyDescent="0.45">
      <c r="B37" s="7"/>
      <c r="C37" s="19">
        <f t="shared" si="11"/>
        <v>44757</v>
      </c>
      <c r="D37" s="26">
        <f t="shared" si="4"/>
        <v>9</v>
      </c>
      <c r="E37" s="34">
        <f t="shared" si="5"/>
        <v>943200.6766627999</v>
      </c>
      <c r="F37" s="43">
        <f t="shared" si="6"/>
        <v>-35005.599999999999</v>
      </c>
      <c r="G37" s="47">
        <f t="shared" si="0"/>
        <v>2607.3360822629452</v>
      </c>
      <c r="H37" s="60">
        <f t="shared" si="7"/>
        <v>910802.41274506284</v>
      </c>
      <c r="J37" s="74">
        <f t="shared" si="1"/>
        <v>9</v>
      </c>
      <c r="K37" s="48">
        <f t="shared" si="8"/>
        <v>932610.11147697875</v>
      </c>
      <c r="L37" s="43">
        <f t="shared" si="2"/>
        <v>-33307.503981320668</v>
      </c>
      <c r="M37" s="75">
        <f t="shared" si="3"/>
        <v>899302.6074956581</v>
      </c>
      <c r="N37" s="32"/>
      <c r="O37" s="76">
        <f t="shared" si="9"/>
        <v>-315050.39999999997</v>
      </c>
      <c r="P37" s="39">
        <f t="shared" si="9"/>
        <v>26782.669417519402</v>
      </c>
      <c r="Q37" s="88">
        <f t="shared" si="10"/>
        <v>299767.53583188594</v>
      </c>
      <c r="R37" s="86"/>
    </row>
    <row r="38" spans="2:18" x14ac:dyDescent="0.45">
      <c r="B38" s="7"/>
      <c r="C38" s="19">
        <f t="shared" si="11"/>
        <v>44788</v>
      </c>
      <c r="D38" s="26">
        <f t="shared" si="4"/>
        <v>10</v>
      </c>
      <c r="E38" s="34">
        <f t="shared" si="5"/>
        <v>910802.41274506284</v>
      </c>
      <c r="F38" s="43">
        <f t="shared" si="6"/>
        <v>-35005.599999999999</v>
      </c>
      <c r="G38" s="47">
        <f t="shared" si="0"/>
        <v>2514.323947881207</v>
      </c>
      <c r="H38" s="60">
        <f t="shared" si="7"/>
        <v>878311.1366929441</v>
      </c>
      <c r="J38" s="74">
        <f t="shared" si="1"/>
        <v>10</v>
      </c>
      <c r="K38" s="48">
        <f t="shared" si="8"/>
        <v>899302.6074956581</v>
      </c>
      <c r="L38" s="43">
        <f t="shared" si="2"/>
        <v>-33307.503981320668</v>
      </c>
      <c r="M38" s="75">
        <f t="shared" si="3"/>
        <v>865995.10351433745</v>
      </c>
      <c r="N38" s="32"/>
      <c r="O38" s="76">
        <f t="shared" si="9"/>
        <v>-350055.99999999994</v>
      </c>
      <c r="P38" s="39">
        <f t="shared" si="9"/>
        <v>29296.993365400609</v>
      </c>
      <c r="Q38" s="88">
        <f t="shared" si="10"/>
        <v>333075.03981320659</v>
      </c>
      <c r="R38" s="87"/>
    </row>
    <row r="39" spans="2:18" x14ac:dyDescent="0.45">
      <c r="B39" s="7"/>
      <c r="C39" s="19">
        <f t="shared" si="11"/>
        <v>44819</v>
      </c>
      <c r="D39" s="26">
        <f t="shared" si="4"/>
        <v>11</v>
      </c>
      <c r="E39" s="34">
        <f t="shared" si="5"/>
        <v>878311.1366929441</v>
      </c>
      <c r="F39" s="43">
        <f t="shared" si="6"/>
        <v>-35005.599999999999</v>
      </c>
      <c r="G39" s="47">
        <f t="shared" si="0"/>
        <v>2421.0447850820137</v>
      </c>
      <c r="H39" s="60">
        <f t="shared" si="7"/>
        <v>845726.58147802611</v>
      </c>
      <c r="J39" s="74">
        <f t="shared" si="1"/>
        <v>11</v>
      </c>
      <c r="K39" s="48">
        <f t="shared" si="8"/>
        <v>865995.10351433745</v>
      </c>
      <c r="L39" s="43">
        <f t="shared" si="2"/>
        <v>-33307.503981320668</v>
      </c>
      <c r="M39" s="75">
        <f t="shared" si="3"/>
        <v>832687.59953301679</v>
      </c>
      <c r="N39" s="32"/>
      <c r="O39" s="76">
        <f t="shared" si="9"/>
        <v>-385061.59999999992</v>
      </c>
      <c r="P39" s="39">
        <f t="shared" si="9"/>
        <v>31718.038150482622</v>
      </c>
      <c r="Q39" s="88">
        <f t="shared" si="10"/>
        <v>366382.54379452724</v>
      </c>
      <c r="R39" s="87"/>
    </row>
    <row r="40" spans="2:18" x14ac:dyDescent="0.45">
      <c r="B40" s="7"/>
      <c r="C40" s="19">
        <f t="shared" si="11"/>
        <v>44849</v>
      </c>
      <c r="D40" s="26">
        <f t="shared" si="4"/>
        <v>12</v>
      </c>
      <c r="E40" s="34">
        <f t="shared" si="5"/>
        <v>845726.58147802611</v>
      </c>
      <c r="F40" s="43">
        <f t="shared" si="6"/>
        <v>-35005.599999999999</v>
      </c>
      <c r="G40" s="47">
        <f t="shared" si="0"/>
        <v>2327.4978272538233</v>
      </c>
      <c r="H40" s="60">
        <f t="shared" si="7"/>
        <v>813048.47930527991</v>
      </c>
      <c r="J40" s="74">
        <f t="shared" si="1"/>
        <v>12</v>
      </c>
      <c r="K40" s="48">
        <f t="shared" si="8"/>
        <v>832687.59953301679</v>
      </c>
      <c r="L40" s="43">
        <f t="shared" si="2"/>
        <v>-33307.503981320668</v>
      </c>
      <c r="M40" s="75">
        <f t="shared" si="3"/>
        <v>799380.09555169614</v>
      </c>
      <c r="N40" s="32"/>
      <c r="O40" s="76">
        <f t="shared" si="9"/>
        <v>-420067.1999999999</v>
      </c>
      <c r="P40" s="39">
        <f t="shared" si="9"/>
        <v>34045.535977736443</v>
      </c>
      <c r="Q40" s="88">
        <f t="shared" si="10"/>
        <v>399690.0477758479</v>
      </c>
      <c r="R40" s="87"/>
    </row>
    <row r="41" spans="2:18" x14ac:dyDescent="0.45">
      <c r="B41" s="7"/>
      <c r="C41" s="19">
        <f t="shared" si="11"/>
        <v>44880</v>
      </c>
      <c r="D41" s="26">
        <f t="shared" si="4"/>
        <v>13</v>
      </c>
      <c r="E41" s="34">
        <f t="shared" si="5"/>
        <v>813048.47930527991</v>
      </c>
      <c r="F41" s="43">
        <f t="shared" si="6"/>
        <v>-35005.599999999999</v>
      </c>
      <c r="G41" s="47">
        <f t="shared" ref="G41:G64" si="12">((E41+F41)*($F$16))</f>
        <v>2233.6823055842306</v>
      </c>
      <c r="H41" s="60">
        <f t="shared" si="7"/>
        <v>780276.56161086413</v>
      </c>
      <c r="J41" s="74">
        <f t="shared" si="1"/>
        <v>13</v>
      </c>
      <c r="K41" s="48">
        <f t="shared" si="8"/>
        <v>799380.09555169614</v>
      </c>
      <c r="L41" s="43">
        <f t="shared" ref="L41:L64" si="13">-$M$22/$F$12</f>
        <v>-33307.503981320668</v>
      </c>
      <c r="M41" s="75">
        <f t="shared" si="3"/>
        <v>766072.59157037549</v>
      </c>
      <c r="N41" s="32"/>
      <c r="O41" s="76">
        <f t="shared" si="9"/>
        <v>-455072.79999999987</v>
      </c>
      <c r="P41" s="39">
        <f t="shared" si="9"/>
        <v>36279.218283320675</v>
      </c>
      <c r="Q41" s="88">
        <f t="shared" si="10"/>
        <v>432997.55175716855</v>
      </c>
      <c r="R41" s="87"/>
    </row>
    <row r="42" spans="2:18" x14ac:dyDescent="0.45">
      <c r="B42" s="7"/>
      <c r="C42" s="19">
        <f t="shared" si="11"/>
        <v>44910</v>
      </c>
      <c r="D42" s="26">
        <f t="shared" si="4"/>
        <v>14</v>
      </c>
      <c r="E42" s="34">
        <f t="shared" si="5"/>
        <v>780276.56161086413</v>
      </c>
      <c r="F42" s="43">
        <f t="shared" si="6"/>
        <v>-35005.599999999999</v>
      </c>
      <c r="G42" s="47">
        <f t="shared" si="12"/>
        <v>2139.5974490536473</v>
      </c>
      <c r="H42" s="60">
        <f t="shared" si="7"/>
        <v>747410.55905991781</v>
      </c>
      <c r="J42" s="74">
        <f t="shared" si="1"/>
        <v>14</v>
      </c>
      <c r="K42" s="48">
        <f t="shared" si="8"/>
        <v>766072.59157037549</v>
      </c>
      <c r="L42" s="43">
        <f t="shared" si="13"/>
        <v>-33307.503981320668</v>
      </c>
      <c r="M42" s="75">
        <f t="shared" si="3"/>
        <v>732765.08758905483</v>
      </c>
      <c r="N42" s="32"/>
      <c r="O42" s="76">
        <f t="shared" si="9"/>
        <v>-490078.39999999985</v>
      </c>
      <c r="P42" s="39">
        <f t="shared" si="9"/>
        <v>38418.815732374322</v>
      </c>
      <c r="Q42" s="88">
        <f t="shared" si="10"/>
        <v>466305.0557384892</v>
      </c>
      <c r="R42" s="87"/>
    </row>
    <row r="43" spans="2:18" x14ac:dyDescent="0.45">
      <c r="B43" s="7"/>
      <c r="C43" s="19">
        <f t="shared" si="11"/>
        <v>44941</v>
      </c>
      <c r="D43" s="26">
        <f t="shared" si="4"/>
        <v>15</v>
      </c>
      <c r="E43" s="34">
        <f t="shared" si="5"/>
        <v>747410.55905991781</v>
      </c>
      <c r="F43" s="43">
        <f t="shared" si="6"/>
        <v>-35005.599999999999</v>
      </c>
      <c r="G43" s="47">
        <f t="shared" si="12"/>
        <v>2045.2424844289658</v>
      </c>
      <c r="H43" s="60">
        <f t="shared" si="7"/>
        <v>714450.20154434675</v>
      </c>
      <c r="J43" s="74">
        <f t="shared" si="1"/>
        <v>15</v>
      </c>
      <c r="K43" s="48">
        <f t="shared" si="8"/>
        <v>732765.08758905483</v>
      </c>
      <c r="L43" s="43">
        <f t="shared" si="13"/>
        <v>-33307.503981320668</v>
      </c>
      <c r="M43" s="75">
        <f t="shared" si="3"/>
        <v>699457.58360773418</v>
      </c>
      <c r="N43" s="32"/>
      <c r="O43" s="76">
        <f t="shared" si="9"/>
        <v>-525083.99999999988</v>
      </c>
      <c r="P43" s="39">
        <f t="shared" si="9"/>
        <v>40464.058216803285</v>
      </c>
      <c r="Q43" s="88">
        <f t="shared" si="10"/>
        <v>499612.55971980985</v>
      </c>
      <c r="R43" s="87"/>
    </row>
    <row r="44" spans="2:18" x14ac:dyDescent="0.45">
      <c r="B44" s="7"/>
      <c r="C44" s="19">
        <f t="shared" si="11"/>
        <v>44972</v>
      </c>
      <c r="D44" s="26">
        <f t="shared" si="4"/>
        <v>16</v>
      </c>
      <c r="E44" s="34">
        <f t="shared" si="5"/>
        <v>714450.20154434675</v>
      </c>
      <c r="F44" s="43">
        <f t="shared" si="6"/>
        <v>-35005.599999999999</v>
      </c>
      <c r="G44" s="47">
        <f t="shared" si="12"/>
        <v>1950.6166362572046</v>
      </c>
      <c r="H44" s="60">
        <f t="shared" si="7"/>
        <v>681395.21818060393</v>
      </c>
      <c r="J44" s="74">
        <f t="shared" si="1"/>
        <v>16</v>
      </c>
      <c r="K44" s="48">
        <f t="shared" si="8"/>
        <v>699457.58360773418</v>
      </c>
      <c r="L44" s="43">
        <f t="shared" si="13"/>
        <v>-33307.503981320668</v>
      </c>
      <c r="M44" s="75">
        <f t="shared" si="3"/>
        <v>666150.07962641353</v>
      </c>
      <c r="N44" s="32"/>
      <c r="O44" s="76">
        <f t="shared" si="9"/>
        <v>-560089.59999999986</v>
      </c>
      <c r="P44" s="39">
        <f t="shared" si="9"/>
        <v>42414.674853060489</v>
      </c>
      <c r="Q44" s="88">
        <f t="shared" si="10"/>
        <v>532920.06370113057</v>
      </c>
      <c r="R44" s="87"/>
    </row>
    <row r="45" spans="2:18" x14ac:dyDescent="0.45">
      <c r="B45" s="7"/>
      <c r="C45" s="19">
        <f t="shared" si="11"/>
        <v>45000</v>
      </c>
      <c r="D45" s="26">
        <f t="shared" si="4"/>
        <v>17</v>
      </c>
      <c r="E45" s="34">
        <f t="shared" si="5"/>
        <v>681395.21818060393</v>
      </c>
      <c r="F45" s="43">
        <f t="shared" si="6"/>
        <v>-35005.599999999999</v>
      </c>
      <c r="G45" s="47">
        <f t="shared" si="12"/>
        <v>1855.7191268591357</v>
      </c>
      <c r="H45" s="60">
        <f t="shared" si="7"/>
        <v>648245.33730746305</v>
      </c>
      <c r="J45" s="74">
        <f t="shared" si="1"/>
        <v>17</v>
      </c>
      <c r="K45" s="48">
        <f t="shared" si="8"/>
        <v>666150.07962641353</v>
      </c>
      <c r="L45" s="43">
        <f t="shared" si="13"/>
        <v>-33307.503981320668</v>
      </c>
      <c r="M45" s="75">
        <f t="shared" si="3"/>
        <v>632842.57564509287</v>
      </c>
      <c r="N45" s="32"/>
      <c r="O45" s="76">
        <f t="shared" si="9"/>
        <v>-595095.19999999984</v>
      </c>
      <c r="P45" s="39">
        <f t="shared" si="9"/>
        <v>44270.393979919623</v>
      </c>
      <c r="Q45" s="88">
        <f t="shared" si="10"/>
        <v>566227.56768245122</v>
      </c>
      <c r="R45" s="87"/>
    </row>
    <row r="46" spans="2:18" x14ac:dyDescent="0.45">
      <c r="B46" s="7"/>
      <c r="C46" s="19">
        <f t="shared" si="11"/>
        <v>45031</v>
      </c>
      <c r="D46" s="26">
        <f t="shared" si="4"/>
        <v>18</v>
      </c>
      <c r="E46" s="34">
        <f t="shared" si="5"/>
        <v>648245.33730746305</v>
      </c>
      <c r="F46" s="43">
        <f t="shared" si="6"/>
        <v>-35005.599999999999</v>
      </c>
      <c r="G46" s="47">
        <f t="shared" si="12"/>
        <v>1760.5491763228922</v>
      </c>
      <c r="H46" s="60">
        <f t="shared" si="7"/>
        <v>615000.28648378595</v>
      </c>
      <c r="J46" s="74">
        <f t="shared" si="1"/>
        <v>18</v>
      </c>
      <c r="K46" s="48">
        <f t="shared" si="8"/>
        <v>632842.57564509287</v>
      </c>
      <c r="L46" s="43">
        <f t="shared" si="13"/>
        <v>-33307.503981320668</v>
      </c>
      <c r="M46" s="75">
        <f t="shared" si="3"/>
        <v>599535.07166377222</v>
      </c>
      <c r="N46" s="32"/>
      <c r="O46" s="76">
        <f t="shared" ref="O46:P61" si="14">+O45+F46</f>
        <v>-630100.79999999981</v>
      </c>
      <c r="P46" s="39">
        <f t="shared" si="14"/>
        <v>46030.943156242516</v>
      </c>
      <c r="Q46" s="88">
        <f t="shared" si="10"/>
        <v>599535.07166377187</v>
      </c>
      <c r="R46" s="87"/>
    </row>
    <row r="47" spans="2:18" x14ac:dyDescent="0.45">
      <c r="B47" s="7"/>
      <c r="C47" s="19">
        <f t="shared" si="11"/>
        <v>45061</v>
      </c>
      <c r="D47" s="26">
        <f t="shared" si="4"/>
        <v>19</v>
      </c>
      <c r="E47" s="34">
        <f t="shared" si="5"/>
        <v>615000.28648378595</v>
      </c>
      <c r="F47" s="43">
        <f t="shared" si="6"/>
        <v>-35005.599999999999</v>
      </c>
      <c r="G47" s="47">
        <f t="shared" si="12"/>
        <v>1665.1060024975598</v>
      </c>
      <c r="H47" s="60">
        <f t="shared" si="7"/>
        <v>581659.79248628358</v>
      </c>
      <c r="J47" s="74">
        <f t="shared" si="1"/>
        <v>19</v>
      </c>
      <c r="K47" s="48">
        <f t="shared" si="8"/>
        <v>599535.07166377222</v>
      </c>
      <c r="L47" s="43">
        <f t="shared" si="13"/>
        <v>-33307.503981320668</v>
      </c>
      <c r="M47" s="75">
        <f t="shared" si="3"/>
        <v>566227.56768245157</v>
      </c>
      <c r="N47" s="32"/>
      <c r="O47" s="76">
        <f t="shared" si="14"/>
        <v>-665106.39999999979</v>
      </c>
      <c r="P47" s="39">
        <f t="shared" si="14"/>
        <v>47696.049158740076</v>
      </c>
      <c r="Q47" s="88">
        <f t="shared" si="10"/>
        <v>632842.57564509253</v>
      </c>
      <c r="R47" s="87"/>
    </row>
    <row r="48" spans="2:18" x14ac:dyDescent="0.45">
      <c r="B48" s="7"/>
      <c r="C48" s="19">
        <f t="shared" si="11"/>
        <v>45092</v>
      </c>
      <c r="D48" s="26">
        <f t="shared" si="4"/>
        <v>20</v>
      </c>
      <c r="E48" s="34">
        <f t="shared" si="5"/>
        <v>581659.79248628358</v>
      </c>
      <c r="F48" s="43">
        <f t="shared" si="6"/>
        <v>-35005.599999999999</v>
      </c>
      <c r="G48" s="47">
        <f t="shared" si="12"/>
        <v>1569.3888209867478</v>
      </c>
      <c r="H48" s="60">
        <f t="shared" si="7"/>
        <v>548223.58130727033</v>
      </c>
      <c r="J48" s="74">
        <f t="shared" si="1"/>
        <v>20</v>
      </c>
      <c r="K48" s="48">
        <f t="shared" si="8"/>
        <v>566227.56768245157</v>
      </c>
      <c r="L48" s="43">
        <f t="shared" si="13"/>
        <v>-33307.503981320668</v>
      </c>
      <c r="M48" s="75">
        <f t="shared" si="3"/>
        <v>532920.06370113092</v>
      </c>
      <c r="N48" s="32"/>
      <c r="O48" s="76">
        <f t="shared" si="14"/>
        <v>-700111.99999999977</v>
      </c>
      <c r="P48" s="39">
        <f t="shared" si="14"/>
        <v>49265.437979726827</v>
      </c>
      <c r="Q48" s="88">
        <f t="shared" si="10"/>
        <v>666150.07962641318</v>
      </c>
      <c r="R48" s="87"/>
    </row>
    <row r="49" spans="2:18" x14ac:dyDescent="0.45">
      <c r="B49" s="7"/>
      <c r="C49" s="19">
        <f t="shared" si="11"/>
        <v>45122</v>
      </c>
      <c r="D49" s="26">
        <f t="shared" si="4"/>
        <v>21</v>
      </c>
      <c r="E49" s="34">
        <f t="shared" si="5"/>
        <v>548223.58130727033</v>
      </c>
      <c r="F49" s="43">
        <f t="shared" si="6"/>
        <v>-35005.599999999999</v>
      </c>
      <c r="G49" s="47">
        <f t="shared" si="12"/>
        <v>1473.3968451421426</v>
      </c>
      <c r="H49" s="60">
        <f t="shared" si="7"/>
        <v>514691.37815241248</v>
      </c>
      <c r="J49" s="74">
        <f t="shared" si="1"/>
        <v>21</v>
      </c>
      <c r="K49" s="48">
        <f t="shared" si="8"/>
        <v>532920.06370113092</v>
      </c>
      <c r="L49" s="43">
        <f t="shared" si="13"/>
        <v>-33307.503981320668</v>
      </c>
      <c r="M49" s="75">
        <f t="shared" si="3"/>
        <v>499612.55971981026</v>
      </c>
      <c r="N49" s="80"/>
      <c r="O49" s="76">
        <f t="shared" si="14"/>
        <v>-735117.59999999974</v>
      </c>
      <c r="P49" s="39">
        <f t="shared" si="14"/>
        <v>50738.834824868973</v>
      </c>
      <c r="Q49" s="88">
        <f t="shared" si="10"/>
        <v>699457.58360773383</v>
      </c>
      <c r="R49" s="87"/>
    </row>
    <row r="50" spans="2:18" x14ac:dyDescent="0.45">
      <c r="B50" s="7"/>
      <c r="C50" s="19">
        <f t="shared" si="11"/>
        <v>45153</v>
      </c>
      <c r="D50" s="26">
        <f t="shared" si="4"/>
        <v>22</v>
      </c>
      <c r="E50" s="34">
        <f t="shared" si="5"/>
        <v>514691.37815241248</v>
      </c>
      <c r="F50" s="43">
        <f t="shared" si="6"/>
        <v>-35005.599999999999</v>
      </c>
      <c r="G50" s="47">
        <f t="shared" si="12"/>
        <v>1377.1292860570434</v>
      </c>
      <c r="H50" s="60">
        <f t="shared" si="7"/>
        <v>481062.90743846953</v>
      </c>
      <c r="J50" s="74">
        <f t="shared" si="1"/>
        <v>22</v>
      </c>
      <c r="K50" s="48">
        <f t="shared" si="8"/>
        <v>499612.55971981026</v>
      </c>
      <c r="L50" s="43">
        <f t="shared" si="13"/>
        <v>-33307.503981320668</v>
      </c>
      <c r="M50" s="75">
        <f t="shared" si="3"/>
        <v>466305.05573848961</v>
      </c>
      <c r="N50" s="32"/>
      <c r="O50" s="76">
        <f t="shared" si="14"/>
        <v>-770123.19999999972</v>
      </c>
      <c r="P50" s="39">
        <f t="shared" si="14"/>
        <v>52115.964110926019</v>
      </c>
      <c r="Q50" s="88">
        <f t="shared" si="10"/>
        <v>732765.08758905448</v>
      </c>
      <c r="R50" s="32"/>
    </row>
    <row r="51" spans="2:18" x14ac:dyDescent="0.45">
      <c r="B51" s="7"/>
      <c r="C51" s="19">
        <f t="shared" si="11"/>
        <v>45184</v>
      </c>
      <c r="D51" s="26">
        <f t="shared" si="4"/>
        <v>23</v>
      </c>
      <c r="E51" s="34">
        <f t="shared" si="5"/>
        <v>481062.90743846953</v>
      </c>
      <c r="F51" s="43">
        <f t="shared" si="6"/>
        <v>-35005.599999999999</v>
      </c>
      <c r="G51" s="47">
        <f t="shared" si="12"/>
        <v>1280.5853525598782</v>
      </c>
      <c r="H51" s="60">
        <f t="shared" si="7"/>
        <v>447337.89279102942</v>
      </c>
      <c r="J51" s="74">
        <f t="shared" si="1"/>
        <v>23</v>
      </c>
      <c r="K51" s="48">
        <f t="shared" si="8"/>
        <v>466305.05573848961</v>
      </c>
      <c r="L51" s="43">
        <f t="shared" si="13"/>
        <v>-33307.503981320668</v>
      </c>
      <c r="M51" s="75">
        <f t="shared" si="3"/>
        <v>432997.55175716896</v>
      </c>
      <c r="N51" s="32"/>
      <c r="O51" s="76">
        <f t="shared" si="14"/>
        <v>-805128.7999999997</v>
      </c>
      <c r="P51" s="39">
        <f t="shared" si="14"/>
        <v>53396.549463485899</v>
      </c>
      <c r="Q51" s="88">
        <f t="shared" si="10"/>
        <v>766072.59157037514</v>
      </c>
      <c r="R51" s="32"/>
    </row>
    <row r="52" spans="2:18" x14ac:dyDescent="0.45">
      <c r="B52" s="7"/>
      <c r="C52" s="19">
        <f t="shared" si="11"/>
        <v>45214</v>
      </c>
      <c r="D52" s="26">
        <f t="shared" si="4"/>
        <v>24</v>
      </c>
      <c r="E52" s="34">
        <f t="shared" si="5"/>
        <v>447337.89279102942</v>
      </c>
      <c r="F52" s="43">
        <f t="shared" si="6"/>
        <v>-35005.599999999999</v>
      </c>
      <c r="G52" s="47">
        <f t="shared" si="12"/>
        <v>1183.7642512077014</v>
      </c>
      <c r="H52" s="60">
        <f t="shared" si="7"/>
        <v>413516.05704223714</v>
      </c>
      <c r="J52" s="74">
        <f t="shared" si="1"/>
        <v>24</v>
      </c>
      <c r="K52" s="48">
        <f t="shared" si="8"/>
        <v>432997.55175716896</v>
      </c>
      <c r="L52" s="43">
        <f t="shared" si="13"/>
        <v>-33307.503981320668</v>
      </c>
      <c r="M52" s="75">
        <f t="shared" si="3"/>
        <v>399690.0477758483</v>
      </c>
      <c r="N52" s="32"/>
      <c r="O52" s="76">
        <f t="shared" si="14"/>
        <v>-840134.39999999967</v>
      </c>
      <c r="P52" s="39">
        <f t="shared" si="14"/>
        <v>54580.313714693599</v>
      </c>
      <c r="Q52" s="88">
        <f t="shared" si="10"/>
        <v>799380.09555169579</v>
      </c>
      <c r="R52" s="32"/>
    </row>
    <row r="53" spans="2:18" x14ac:dyDescent="0.45">
      <c r="B53" s="7"/>
      <c r="C53" s="19">
        <f t="shared" si="11"/>
        <v>45245</v>
      </c>
      <c r="D53" s="26">
        <f t="shared" si="4"/>
        <v>25</v>
      </c>
      <c r="E53" s="34">
        <f t="shared" si="5"/>
        <v>413516.05704223714</v>
      </c>
      <c r="F53" s="43">
        <f t="shared" si="6"/>
        <v>-35005.599999999999</v>
      </c>
      <c r="G53" s="47">
        <f t="shared" si="12"/>
        <v>1086.665186279673</v>
      </c>
      <c r="H53" s="60">
        <f t="shared" si="7"/>
        <v>379597.12222851685</v>
      </c>
      <c r="J53" s="74">
        <f t="shared" si="1"/>
        <v>25</v>
      </c>
      <c r="K53" s="48">
        <f t="shared" si="8"/>
        <v>399690.0477758483</v>
      </c>
      <c r="L53" s="43">
        <f t="shared" si="13"/>
        <v>-33307.503981320668</v>
      </c>
      <c r="M53" s="75">
        <f t="shared" si="3"/>
        <v>366382.54379452765</v>
      </c>
      <c r="N53" s="32"/>
      <c r="O53" s="76">
        <f t="shared" si="14"/>
        <v>-875139.99999999965</v>
      </c>
      <c r="P53" s="39">
        <f t="shared" si="14"/>
        <v>55666.97890097327</v>
      </c>
      <c r="Q53" s="88">
        <f t="shared" si="10"/>
        <v>832687.59953301644</v>
      </c>
      <c r="R53" s="32"/>
    </row>
    <row r="54" spans="2:18" x14ac:dyDescent="0.45">
      <c r="B54" s="7"/>
      <c r="C54" s="19">
        <f t="shared" si="11"/>
        <v>45275</v>
      </c>
      <c r="D54" s="26">
        <f t="shared" si="4"/>
        <v>26</v>
      </c>
      <c r="E54" s="34">
        <f t="shared" si="5"/>
        <v>379597.12222851685</v>
      </c>
      <c r="F54" s="43">
        <f t="shared" si="6"/>
        <v>-35005.599999999999</v>
      </c>
      <c r="G54" s="47">
        <f t="shared" si="12"/>
        <v>989.2873597705194</v>
      </c>
      <c r="H54" s="60">
        <f t="shared" si="7"/>
        <v>345580.80958828737</v>
      </c>
      <c r="J54" s="74">
        <f t="shared" si="1"/>
        <v>26</v>
      </c>
      <c r="K54" s="48">
        <f t="shared" si="8"/>
        <v>366382.54379452765</v>
      </c>
      <c r="L54" s="43">
        <f t="shared" si="13"/>
        <v>-33307.503981320668</v>
      </c>
      <c r="M54" s="75">
        <f t="shared" si="3"/>
        <v>333075.039813207</v>
      </c>
      <c r="N54" s="32"/>
      <c r="O54" s="76">
        <f t="shared" si="14"/>
        <v>-910145.59999999963</v>
      </c>
      <c r="P54" s="39">
        <f t="shared" si="14"/>
        <v>56656.266260743789</v>
      </c>
      <c r="Q54" s="88">
        <f t="shared" si="10"/>
        <v>865995.1035143371</v>
      </c>
      <c r="R54" s="32"/>
    </row>
    <row r="55" spans="2:18" x14ac:dyDescent="0.45">
      <c r="B55" s="7"/>
      <c r="C55" s="19">
        <f t="shared" si="11"/>
        <v>45306</v>
      </c>
      <c r="D55" s="26">
        <f t="shared" si="4"/>
        <v>27</v>
      </c>
      <c r="E55" s="34">
        <f t="shared" si="5"/>
        <v>345580.80958828737</v>
      </c>
      <c r="F55" s="43">
        <f t="shared" si="6"/>
        <v>-35005.599999999999</v>
      </c>
      <c r="G55" s="47">
        <f t="shared" si="12"/>
        <v>891.62997138397395</v>
      </c>
      <c r="H55" s="60">
        <f t="shared" si="7"/>
        <v>311466.83955967135</v>
      </c>
      <c r="J55" s="74">
        <f t="shared" si="1"/>
        <v>27</v>
      </c>
      <c r="K55" s="48">
        <f t="shared" si="8"/>
        <v>333075.039813207</v>
      </c>
      <c r="L55" s="43">
        <f t="shared" si="13"/>
        <v>-33307.503981320668</v>
      </c>
      <c r="M55" s="75">
        <f t="shared" si="3"/>
        <v>299767.53583188634</v>
      </c>
      <c r="N55" s="32"/>
      <c r="O55" s="76">
        <f t="shared" si="14"/>
        <v>-945151.1999999996</v>
      </c>
      <c r="P55" s="39">
        <f t="shared" si="14"/>
        <v>57547.896232127765</v>
      </c>
      <c r="Q55" s="88">
        <f t="shared" si="10"/>
        <v>899302.60749565775</v>
      </c>
      <c r="R55" s="32"/>
    </row>
    <row r="56" spans="2:18" x14ac:dyDescent="0.45">
      <c r="B56" s="7"/>
      <c r="C56" s="19">
        <f t="shared" si="11"/>
        <v>45337</v>
      </c>
      <c r="D56" s="26">
        <f t="shared" si="4"/>
        <v>28</v>
      </c>
      <c r="E56" s="34">
        <f t="shared" si="5"/>
        <v>311466.83955967135</v>
      </c>
      <c r="F56" s="43">
        <f t="shared" si="6"/>
        <v>-35005.599999999999</v>
      </c>
      <c r="G56" s="47">
        <f t="shared" si="12"/>
        <v>793.69221852620126</v>
      </c>
      <c r="H56" s="60">
        <f t="shared" si="7"/>
        <v>277254.93177819758</v>
      </c>
      <c r="J56" s="74">
        <f t="shared" si="1"/>
        <v>28</v>
      </c>
      <c r="K56" s="48">
        <f t="shared" si="8"/>
        <v>299767.53583188634</v>
      </c>
      <c r="L56" s="43">
        <f t="shared" si="13"/>
        <v>-33307.503981320668</v>
      </c>
      <c r="M56" s="75">
        <f t="shared" si="3"/>
        <v>266460.03185056569</v>
      </c>
      <c r="N56" s="32"/>
      <c r="O56" s="76">
        <f t="shared" si="14"/>
        <v>-980156.79999999958</v>
      </c>
      <c r="P56" s="39">
        <f t="shared" si="14"/>
        <v>58341.588450653966</v>
      </c>
      <c r="Q56" s="88">
        <f t="shared" si="10"/>
        <v>932610.1114769784</v>
      </c>
      <c r="R56" s="32"/>
    </row>
    <row r="57" spans="2:18" x14ac:dyDescent="0.45">
      <c r="B57" s="7"/>
      <c r="C57" s="19">
        <f t="shared" si="11"/>
        <v>45366</v>
      </c>
      <c r="D57" s="26">
        <f t="shared" si="4"/>
        <v>29</v>
      </c>
      <c r="E57" s="34">
        <f t="shared" si="5"/>
        <v>277254.93177819758</v>
      </c>
      <c r="F57" s="43">
        <f t="shared" si="6"/>
        <v>-35005.599999999999</v>
      </c>
      <c r="G57" s="47">
        <f t="shared" si="12"/>
        <v>695.47329629919989</v>
      </c>
      <c r="H57" s="60">
        <f t="shared" si="7"/>
        <v>242944.80507449678</v>
      </c>
      <c r="J57" s="74">
        <f t="shared" si="1"/>
        <v>29</v>
      </c>
      <c r="K57" s="48">
        <f t="shared" si="8"/>
        <v>266460.03185056569</v>
      </c>
      <c r="L57" s="43">
        <f t="shared" si="13"/>
        <v>-33307.503981320668</v>
      </c>
      <c r="M57" s="75">
        <f t="shared" si="3"/>
        <v>233152.52786924504</v>
      </c>
      <c r="N57" s="32"/>
      <c r="O57" s="76">
        <f t="shared" si="14"/>
        <v>-1015162.3999999996</v>
      </c>
      <c r="P57" s="39">
        <f t="shared" si="14"/>
        <v>59037.061746953164</v>
      </c>
      <c r="Q57" s="88">
        <f t="shared" si="10"/>
        <v>965917.61545829906</v>
      </c>
      <c r="R57" s="32"/>
    </row>
    <row r="58" spans="2:18" x14ac:dyDescent="0.45">
      <c r="B58" s="7"/>
      <c r="C58" s="19">
        <f t="shared" si="11"/>
        <v>45397</v>
      </c>
      <c r="D58" s="26">
        <f t="shared" si="4"/>
        <v>30</v>
      </c>
      <c r="E58" s="34">
        <f t="shared" si="5"/>
        <v>242944.80507449678</v>
      </c>
      <c r="F58" s="43">
        <f t="shared" si="6"/>
        <v>-35005.599999999999</v>
      </c>
      <c r="G58" s="47">
        <f t="shared" si="12"/>
        <v>596.97239749418804</v>
      </c>
      <c r="H58" s="60">
        <f t="shared" si="7"/>
        <v>208536.17747199096</v>
      </c>
      <c r="J58" s="74">
        <f t="shared" si="1"/>
        <v>30</v>
      </c>
      <c r="K58" s="48">
        <f t="shared" si="8"/>
        <v>233152.52786924504</v>
      </c>
      <c r="L58" s="43">
        <f t="shared" si="13"/>
        <v>-33307.503981320668</v>
      </c>
      <c r="M58" s="75">
        <f t="shared" si="3"/>
        <v>199845.02388792438</v>
      </c>
      <c r="N58" s="32"/>
      <c r="O58" s="76">
        <f t="shared" si="14"/>
        <v>-1050167.9999999995</v>
      </c>
      <c r="P58" s="39">
        <f t="shared" si="14"/>
        <v>59634.034144447352</v>
      </c>
      <c r="Q58" s="88">
        <f t="shared" si="10"/>
        <v>999225.11943961971</v>
      </c>
      <c r="R58" s="32"/>
    </row>
    <row r="59" spans="2:18" x14ac:dyDescent="0.45">
      <c r="B59" s="7"/>
      <c r="C59" s="19">
        <f t="shared" si="11"/>
        <v>45427</v>
      </c>
      <c r="D59" s="26">
        <f t="shared" si="4"/>
        <v>31</v>
      </c>
      <c r="E59" s="34">
        <f t="shared" si="5"/>
        <v>208536.17747199096</v>
      </c>
      <c r="F59" s="43">
        <f t="shared" si="6"/>
        <v>-35005.599999999999</v>
      </c>
      <c r="G59" s="47">
        <f t="shared" si="12"/>
        <v>498.18871258496887</v>
      </c>
      <c r="H59" s="60">
        <f t="shared" si="7"/>
        <v>174028.76618457591</v>
      </c>
      <c r="J59" s="74">
        <f t="shared" si="1"/>
        <v>31</v>
      </c>
      <c r="K59" s="48">
        <f t="shared" si="8"/>
        <v>199845.02388792438</v>
      </c>
      <c r="L59" s="43">
        <f t="shared" si="13"/>
        <v>-33307.503981320668</v>
      </c>
      <c r="M59" s="75">
        <f t="shared" si="3"/>
        <v>166537.51990660373</v>
      </c>
      <c r="N59" s="32"/>
      <c r="O59" s="76">
        <f t="shared" si="14"/>
        <v>-1085173.5999999996</v>
      </c>
      <c r="P59" s="39">
        <f t="shared" si="14"/>
        <v>60132.22285703232</v>
      </c>
      <c r="Q59" s="88">
        <f t="shared" si="10"/>
        <v>1032532.6234209404</v>
      </c>
      <c r="R59" s="32"/>
    </row>
    <row r="60" spans="2:18" x14ac:dyDescent="0.45">
      <c r="B60" s="7"/>
      <c r="C60" s="19">
        <f t="shared" si="11"/>
        <v>45458</v>
      </c>
      <c r="D60" s="26">
        <f t="shared" si="4"/>
        <v>32</v>
      </c>
      <c r="E60" s="34">
        <f t="shared" si="5"/>
        <v>174028.76618457591</v>
      </c>
      <c r="F60" s="43">
        <f t="shared" si="6"/>
        <v>-35005.599999999999</v>
      </c>
      <c r="G60" s="47">
        <f t="shared" si="12"/>
        <v>399.1214297212781</v>
      </c>
      <c r="H60" s="60">
        <f t="shared" si="7"/>
        <v>139422.28761429718</v>
      </c>
      <c r="J60" s="74">
        <f t="shared" si="1"/>
        <v>32</v>
      </c>
      <c r="K60" s="48">
        <f t="shared" si="8"/>
        <v>166537.51990660373</v>
      </c>
      <c r="L60" s="43">
        <f t="shared" si="13"/>
        <v>-33307.503981320668</v>
      </c>
      <c r="M60" s="75">
        <f t="shared" si="3"/>
        <v>133230.01592528308</v>
      </c>
      <c r="N60" s="32"/>
      <c r="O60" s="76">
        <f t="shared" si="14"/>
        <v>-1120179.1999999997</v>
      </c>
      <c r="P60" s="39">
        <f t="shared" si="14"/>
        <v>60531.3442867536</v>
      </c>
      <c r="Q60" s="88">
        <f t="shared" si="10"/>
        <v>1065840.1274022611</v>
      </c>
      <c r="R60" s="32"/>
    </row>
    <row r="61" spans="2:18" x14ac:dyDescent="0.45">
      <c r="B61" s="7"/>
      <c r="C61" s="19">
        <f t="shared" si="11"/>
        <v>45488</v>
      </c>
      <c r="D61" s="26">
        <f t="shared" si="4"/>
        <v>33</v>
      </c>
      <c r="E61" s="34">
        <f t="shared" si="5"/>
        <v>139422.28761429718</v>
      </c>
      <c r="F61" s="43">
        <f t="shared" si="6"/>
        <v>-35005.599999999999</v>
      </c>
      <c r="G61" s="47">
        <f t="shared" si="12"/>
        <v>299.76973472211165</v>
      </c>
      <c r="H61" s="60">
        <f t="shared" si="7"/>
        <v>104716.45734901929</v>
      </c>
      <c r="J61" s="74">
        <f t="shared" si="1"/>
        <v>33</v>
      </c>
      <c r="K61" s="48">
        <f t="shared" si="8"/>
        <v>133230.01592528308</v>
      </c>
      <c r="L61" s="43">
        <f t="shared" si="13"/>
        <v>-33307.503981320668</v>
      </c>
      <c r="M61" s="75">
        <f t="shared" si="3"/>
        <v>99922.51194396241</v>
      </c>
      <c r="N61" s="32"/>
      <c r="O61" s="76">
        <f t="shared" si="14"/>
        <v>-1155184.7999999998</v>
      </c>
      <c r="P61" s="39">
        <f t="shared" si="14"/>
        <v>60831.114021475711</v>
      </c>
      <c r="Q61" s="88">
        <f t="shared" si="10"/>
        <v>1099147.6313835818</v>
      </c>
      <c r="R61" s="32"/>
    </row>
    <row r="62" spans="2:18" x14ac:dyDescent="0.45">
      <c r="B62" s="7"/>
      <c r="C62" s="19">
        <f t="shared" si="11"/>
        <v>45519</v>
      </c>
      <c r="D62" s="26">
        <f t="shared" si="4"/>
        <v>34</v>
      </c>
      <c r="E62" s="34">
        <f t="shared" si="5"/>
        <v>104716.45734901929</v>
      </c>
      <c r="F62" s="43">
        <f t="shared" si="6"/>
        <v>-35005.599999999999</v>
      </c>
      <c r="G62" s="47">
        <f t="shared" si="12"/>
        <v>200.13281106903401</v>
      </c>
      <c r="H62" s="60">
        <f t="shared" si="7"/>
        <v>69910.990160088331</v>
      </c>
      <c r="J62" s="74">
        <f t="shared" si="1"/>
        <v>34</v>
      </c>
      <c r="K62" s="48">
        <f t="shared" si="8"/>
        <v>99922.51194396241</v>
      </c>
      <c r="L62" s="43">
        <f t="shared" si="13"/>
        <v>-33307.503981320668</v>
      </c>
      <c r="M62" s="75">
        <f t="shared" si="3"/>
        <v>66615.007962641743</v>
      </c>
      <c r="N62" s="32"/>
      <c r="O62" s="76">
        <f t="shared" ref="O62:P64" si="15">+O61+F62</f>
        <v>-1190190.3999999999</v>
      </c>
      <c r="P62" s="39">
        <f t="shared" si="15"/>
        <v>61031.246832544748</v>
      </c>
      <c r="Q62" s="88">
        <f t="shared" si="10"/>
        <v>1132455.1353649024</v>
      </c>
      <c r="R62" s="32"/>
    </row>
    <row r="63" spans="2:18" x14ac:dyDescent="0.45">
      <c r="B63" s="7"/>
      <c r="C63" s="19">
        <f t="shared" si="11"/>
        <v>45550</v>
      </c>
      <c r="D63" s="26">
        <f t="shared" si="4"/>
        <v>35</v>
      </c>
      <c r="E63" s="34">
        <f t="shared" si="5"/>
        <v>69910.990160088331</v>
      </c>
      <c r="F63" s="43">
        <f t="shared" si="6"/>
        <v>-35005.599999999999</v>
      </c>
      <c r="G63" s="47">
        <f t="shared" si="12"/>
        <v>100.20983989946802</v>
      </c>
      <c r="H63" s="60">
        <f t="shared" si="7"/>
        <v>35005.599999987804</v>
      </c>
      <c r="J63" s="74">
        <f t="shared" si="1"/>
        <v>35</v>
      </c>
      <c r="K63" s="48">
        <f t="shared" si="8"/>
        <v>66615.007962641743</v>
      </c>
      <c r="L63" s="43">
        <f t="shared" si="13"/>
        <v>-33307.503981320668</v>
      </c>
      <c r="M63" s="75">
        <f t="shared" si="3"/>
        <v>33307.503981321075</v>
      </c>
      <c r="N63" s="32"/>
      <c r="O63" s="76">
        <f t="shared" si="15"/>
        <v>-1225196</v>
      </c>
      <c r="P63" s="39">
        <f t="shared" si="15"/>
        <v>61131.456672444219</v>
      </c>
      <c r="Q63" s="88">
        <f t="shared" si="10"/>
        <v>1165762.6393462231</v>
      </c>
      <c r="R63" s="32"/>
    </row>
    <row r="64" spans="2:18" x14ac:dyDescent="0.45">
      <c r="B64" s="7"/>
      <c r="C64" s="19">
        <f t="shared" si="11"/>
        <v>45580</v>
      </c>
      <c r="D64" s="26">
        <f t="shared" si="4"/>
        <v>36</v>
      </c>
      <c r="E64" s="34">
        <f t="shared" si="5"/>
        <v>35005.599999987804</v>
      </c>
      <c r="F64" s="43">
        <f t="shared" si="6"/>
        <v>-35005.599999999999</v>
      </c>
      <c r="G64" s="47">
        <f t="shared" si="12"/>
        <v>-3.5009188673374973E-11</v>
      </c>
      <c r="H64" s="60">
        <f t="shared" si="7"/>
        <v>-1.2229514150044798E-8</v>
      </c>
      <c r="J64" s="74">
        <f t="shared" si="1"/>
        <v>36</v>
      </c>
      <c r="K64" s="48">
        <f t="shared" si="8"/>
        <v>33307.503981321075</v>
      </c>
      <c r="L64" s="43">
        <f t="shared" si="13"/>
        <v>-33307.503981320668</v>
      </c>
      <c r="M64" s="75">
        <f t="shared" si="3"/>
        <v>4.0745362639427185E-10</v>
      </c>
      <c r="N64" s="32"/>
      <c r="O64" s="76">
        <f t="shared" si="15"/>
        <v>-1260201.6000000001</v>
      </c>
      <c r="P64" s="39">
        <f t="shared" si="15"/>
        <v>61131.456672444183</v>
      </c>
      <c r="Q64" s="88">
        <f t="shared" si="10"/>
        <v>1199070.1433275437</v>
      </c>
      <c r="R64" s="32"/>
    </row>
    <row r="65" spans="2:18" x14ac:dyDescent="0.45">
      <c r="B65" s="7"/>
      <c r="C65" s="19">
        <f t="shared" si="11"/>
        <v>45611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45641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45672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45703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45731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45762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45792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45823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45853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45884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45915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45945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45976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46006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46037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46068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46096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46127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46157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46188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46218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46249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46280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46310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46341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46371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46402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46433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46461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46492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6">DATE(YEAR(C94),MONTH(C94)+1,DAY(C94))</f>
        <v>46522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6"/>
        <v>46553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6"/>
        <v>46583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6"/>
        <v>46614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6"/>
        <v>46645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6"/>
        <v>46675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6"/>
        <v>46706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6"/>
        <v>46736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6"/>
        <v>46767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6"/>
        <v>46798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6"/>
        <v>46827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6"/>
        <v>46858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6"/>
        <v>46888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-1.1874362826347351E-8</v>
      </c>
      <c r="F110" s="43">
        <f>SUM(F29:F107)</f>
        <v>-1260201.6000000001</v>
      </c>
      <c r="G110" s="43">
        <f>SUM(G29:G107)</f>
        <v>61131.456672444183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1199070.143327544</v>
      </c>
      <c r="G116" s="119">
        <f>INDEX(M:M,MATCH(DATE(2021,12,DAY(D10)),C:C))</f>
        <v>1132455.1353649027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-63418.280430301551</v>
      </c>
      <c r="G119" s="113">
        <f ca="1">IFERROR(SUM(INDIRECT("F"&amp;MATCH(DATE(2022,1,DAY(D10)),C:C)):INDIRECT("G"&amp;MATCH(DATE(2022,1,DAY(D10)),C:C)+11)),VALUE("0"))</f>
        <v>-388241.30383732403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-1135651.8628972538</v>
      </c>
      <c r="G123" s="113">
        <f ca="1">IFERROR(SUM(INDIRECT("F"&amp;MATCH(DATE(2023,1,DAY(D10)),C:C)):G107),VALUE("0"))</f>
        <v>-747410.5590599298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-420067.1999999999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-770123.19999999972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CA598-CED7-4502-9C7D-32001576D27E}">
  <dimension ref="B1:R130"/>
  <sheetViews>
    <sheetView topLeftCell="A31"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170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Summary'!C:H,6,FALSE)</f>
        <v>38104.199999999997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Summary'!C:H,4,FALSE)</f>
        <v>43739</v>
      </c>
      <c r="E10" s="12">
        <f>VLOOKUP($C$2,'Lease Summary'!C:H,5,FALSE)</f>
        <v>44834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Summary'!C:I,7,FALSE)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9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38104.199999999997</v>
      </c>
      <c r="G22" s="7" t="s">
        <v>229</v>
      </c>
      <c r="H22" s="53">
        <f>-PV(F16,F12,F22,0,1)</f>
        <v>1305208.5539279829</v>
      </c>
      <c r="J22" s="17" t="s">
        <v>234</v>
      </c>
      <c r="K22" s="22"/>
      <c r="L22" s="7"/>
      <c r="M22" s="65">
        <f>H22</f>
        <v>1305208.5539279829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43739</v>
      </c>
      <c r="D29" s="27">
        <v>1</v>
      </c>
      <c r="E29" s="33">
        <f>H22</f>
        <v>1305208.5539279829</v>
      </c>
      <c r="F29" s="42">
        <f>-D7</f>
        <v>-38104.199999999997</v>
      </c>
      <c r="G29" s="46">
        <f t="shared" ref="G29:G64" si="0">((E29+F29)*($F$16))</f>
        <v>3637.7282666282827</v>
      </c>
      <c r="H29" s="59">
        <f>SUM(E29:G29)</f>
        <v>1270742.0821946112</v>
      </c>
      <c r="J29" s="69">
        <f t="shared" ref="J29:J64" si="1">D29</f>
        <v>1</v>
      </c>
      <c r="K29" s="70">
        <f>M22</f>
        <v>1305208.5539279829</v>
      </c>
      <c r="L29" s="42">
        <f t="shared" ref="L29:L64" si="2">-$M$22/$F$12</f>
        <v>-36255.793164666189</v>
      </c>
      <c r="M29" s="71">
        <f t="shared" ref="M29:M64" si="3">K29+L29</f>
        <v>1268952.7607633166</v>
      </c>
      <c r="N29" s="32"/>
      <c r="O29" s="72">
        <f>+F29</f>
        <v>-38104.199999999997</v>
      </c>
      <c r="P29" s="73">
        <f>+G29</f>
        <v>3637.7282666282827</v>
      </c>
      <c r="Q29" s="71">
        <f>-L29</f>
        <v>36255.793164666189</v>
      </c>
      <c r="R29" s="85"/>
    </row>
    <row r="30" spans="2:18" x14ac:dyDescent="0.45">
      <c r="B30" s="7"/>
      <c r="C30" s="19">
        <f>DATE(YEAR(C29),MONTH(C29)+1,DAY(C29))</f>
        <v>43770</v>
      </c>
      <c r="D30" s="26">
        <f t="shared" ref="D30:D64" si="4">D29+1</f>
        <v>2</v>
      </c>
      <c r="E30" s="34">
        <f t="shared" ref="E30:E64" si="5">H29</f>
        <v>1270742.0821946112</v>
      </c>
      <c r="F30" s="43">
        <f t="shared" ref="F30:F64" si="6">F29</f>
        <v>-38104.199999999997</v>
      </c>
      <c r="G30" s="47">
        <f t="shared" si="0"/>
        <v>3538.7785170778543</v>
      </c>
      <c r="H30" s="60">
        <f t="shared" ref="H30:H64" si="7">SUM(E30:G30)</f>
        <v>1236176.6607116892</v>
      </c>
      <c r="J30" s="74">
        <f t="shared" si="1"/>
        <v>2</v>
      </c>
      <c r="K30" s="48">
        <f t="shared" ref="K30:K64" si="8">M29</f>
        <v>1268952.7607633166</v>
      </c>
      <c r="L30" s="43">
        <f t="shared" si="2"/>
        <v>-36255.793164666189</v>
      </c>
      <c r="M30" s="75">
        <f t="shared" si="3"/>
        <v>1232696.9675986504</v>
      </c>
      <c r="N30" s="32"/>
      <c r="O30" s="76">
        <f t="shared" ref="O30:P45" si="9">+O29+F30</f>
        <v>-76208.399999999994</v>
      </c>
      <c r="P30" s="77">
        <f t="shared" si="9"/>
        <v>7176.506783706137</v>
      </c>
      <c r="Q30" s="75">
        <f t="shared" ref="Q30:Q49" si="10">+Q29-L30</f>
        <v>72511.586329332378</v>
      </c>
      <c r="R30" s="86"/>
    </row>
    <row r="31" spans="2:18" x14ac:dyDescent="0.45">
      <c r="B31" s="7"/>
      <c r="C31" s="19">
        <f t="shared" ref="C31:C94" si="11">DATE(YEAR(C30),MONTH(C30)+1,DAY(C30))</f>
        <v>43800</v>
      </c>
      <c r="D31" s="26">
        <f t="shared" si="4"/>
        <v>3</v>
      </c>
      <c r="E31" s="34">
        <f t="shared" si="5"/>
        <v>1236176.6607116892</v>
      </c>
      <c r="F31" s="43">
        <f t="shared" si="6"/>
        <v>-38104.199999999997</v>
      </c>
      <c r="G31" s="47">
        <f t="shared" si="0"/>
        <v>3439.5446928181891</v>
      </c>
      <c r="H31" s="60">
        <f t="shared" si="7"/>
        <v>1201512.0054045073</v>
      </c>
      <c r="J31" s="74">
        <f t="shared" si="1"/>
        <v>3</v>
      </c>
      <c r="K31" s="48">
        <f t="shared" si="8"/>
        <v>1232696.9675986504</v>
      </c>
      <c r="L31" s="43">
        <f t="shared" si="2"/>
        <v>-36255.793164666189</v>
      </c>
      <c r="M31" s="75">
        <f t="shared" si="3"/>
        <v>1196441.1744339841</v>
      </c>
      <c r="N31" s="32"/>
      <c r="O31" s="76">
        <f t="shared" si="9"/>
        <v>-114312.59999999999</v>
      </c>
      <c r="P31" s="39">
        <f t="shared" si="9"/>
        <v>10616.051476524326</v>
      </c>
      <c r="Q31" s="88">
        <f t="shared" si="10"/>
        <v>108767.37949399857</v>
      </c>
      <c r="R31" s="86"/>
    </row>
    <row r="32" spans="2:18" x14ac:dyDescent="0.45">
      <c r="B32" s="7"/>
      <c r="C32" s="19">
        <f t="shared" si="11"/>
        <v>43831</v>
      </c>
      <c r="D32" s="26">
        <f t="shared" si="4"/>
        <v>4</v>
      </c>
      <c r="E32" s="34">
        <f t="shared" si="5"/>
        <v>1201512.0054045073</v>
      </c>
      <c r="F32" s="43">
        <f t="shared" si="6"/>
        <v>-38104.199999999997</v>
      </c>
      <c r="G32" s="47">
        <f t="shared" si="0"/>
        <v>3340.0259782995677</v>
      </c>
      <c r="H32" s="60">
        <f t="shared" si="7"/>
        <v>1166747.8313828069</v>
      </c>
      <c r="J32" s="74">
        <f t="shared" si="1"/>
        <v>4</v>
      </c>
      <c r="K32" s="48">
        <f t="shared" si="8"/>
        <v>1196441.1744339841</v>
      </c>
      <c r="L32" s="43">
        <f t="shared" si="2"/>
        <v>-36255.793164666189</v>
      </c>
      <c r="M32" s="75">
        <f t="shared" si="3"/>
        <v>1160185.3812693178</v>
      </c>
      <c r="N32" s="32"/>
      <c r="O32" s="76">
        <f t="shared" si="9"/>
        <v>-152416.79999999999</v>
      </c>
      <c r="P32" s="39">
        <f t="shared" si="9"/>
        <v>13956.077454823893</v>
      </c>
      <c r="Q32" s="88">
        <f t="shared" si="10"/>
        <v>145023.17265866476</v>
      </c>
      <c r="R32" s="86"/>
    </row>
    <row r="33" spans="2:18" x14ac:dyDescent="0.45">
      <c r="B33" s="7"/>
      <c r="C33" s="19">
        <f t="shared" si="11"/>
        <v>43862</v>
      </c>
      <c r="D33" s="26">
        <f t="shared" si="4"/>
        <v>5</v>
      </c>
      <c r="E33" s="34">
        <f t="shared" si="5"/>
        <v>1166747.8313828069</v>
      </c>
      <c r="F33" s="43">
        <f t="shared" si="6"/>
        <v>-38104.199999999997</v>
      </c>
      <c r="G33" s="47">
        <f t="shared" si="0"/>
        <v>3240.2215556309102</v>
      </c>
      <c r="H33" s="60">
        <f t="shared" si="7"/>
        <v>1131883.8529384378</v>
      </c>
      <c r="J33" s="74">
        <f t="shared" si="1"/>
        <v>5</v>
      </c>
      <c r="K33" s="48">
        <f t="shared" si="8"/>
        <v>1160185.3812693178</v>
      </c>
      <c r="L33" s="43">
        <f t="shared" si="2"/>
        <v>-36255.793164666189</v>
      </c>
      <c r="M33" s="75">
        <f t="shared" si="3"/>
        <v>1123929.5881046515</v>
      </c>
      <c r="N33" s="32"/>
      <c r="O33" s="76">
        <f t="shared" si="9"/>
        <v>-190521</v>
      </c>
      <c r="P33" s="39">
        <f t="shared" si="9"/>
        <v>17196.299010454804</v>
      </c>
      <c r="Q33" s="88">
        <f t="shared" si="10"/>
        <v>181278.96582333095</v>
      </c>
      <c r="R33" s="86"/>
    </row>
    <row r="34" spans="2:18" x14ac:dyDescent="0.45">
      <c r="B34" s="7"/>
      <c r="C34" s="19">
        <f t="shared" si="11"/>
        <v>43891</v>
      </c>
      <c r="D34" s="26">
        <f t="shared" si="4"/>
        <v>6</v>
      </c>
      <c r="E34" s="34">
        <f t="shared" si="5"/>
        <v>1131883.8529384378</v>
      </c>
      <c r="F34" s="43">
        <f t="shared" si="6"/>
        <v>-38104.199999999997</v>
      </c>
      <c r="G34" s="47">
        <f t="shared" si="0"/>
        <v>3140.1306045730557</v>
      </c>
      <c r="H34" s="60">
        <f t="shared" si="7"/>
        <v>1096919.7835430109</v>
      </c>
      <c r="J34" s="74">
        <f t="shared" si="1"/>
        <v>6</v>
      </c>
      <c r="K34" s="48">
        <f t="shared" si="8"/>
        <v>1123929.5881046515</v>
      </c>
      <c r="L34" s="43">
        <f t="shared" si="2"/>
        <v>-36255.793164666189</v>
      </c>
      <c r="M34" s="75">
        <f t="shared" si="3"/>
        <v>1087673.7949399853</v>
      </c>
      <c r="N34" s="32"/>
      <c r="O34" s="76">
        <f t="shared" si="9"/>
        <v>-228625.2</v>
      </c>
      <c r="P34" s="39">
        <f t="shared" si="9"/>
        <v>20336.429615027861</v>
      </c>
      <c r="Q34" s="88">
        <f t="shared" si="10"/>
        <v>217534.75898799713</v>
      </c>
      <c r="R34" s="86"/>
    </row>
    <row r="35" spans="2:18" x14ac:dyDescent="0.45">
      <c r="B35" s="7"/>
      <c r="C35" s="19">
        <f t="shared" si="11"/>
        <v>43922</v>
      </c>
      <c r="D35" s="26">
        <f t="shared" si="4"/>
        <v>7</v>
      </c>
      <c r="E35" s="34">
        <f t="shared" si="5"/>
        <v>1096919.7835430109</v>
      </c>
      <c r="F35" s="43">
        <f t="shared" si="6"/>
        <v>-38104.199999999997</v>
      </c>
      <c r="G35" s="47">
        <f t="shared" si="0"/>
        <v>3039.7523025320174</v>
      </c>
      <c r="H35" s="60">
        <f t="shared" si="7"/>
        <v>1061855.3358455431</v>
      </c>
      <c r="J35" s="74">
        <f t="shared" si="1"/>
        <v>7</v>
      </c>
      <c r="K35" s="48">
        <f t="shared" si="8"/>
        <v>1087673.7949399853</v>
      </c>
      <c r="L35" s="43">
        <f t="shared" si="2"/>
        <v>-36255.793164666189</v>
      </c>
      <c r="M35" s="75">
        <f t="shared" si="3"/>
        <v>1051418.001775319</v>
      </c>
      <c r="N35" s="32"/>
      <c r="O35" s="76">
        <f t="shared" si="9"/>
        <v>-266729.40000000002</v>
      </c>
      <c r="P35" s="39">
        <f t="shared" si="9"/>
        <v>23376.181917559879</v>
      </c>
      <c r="Q35" s="88">
        <f t="shared" si="10"/>
        <v>253790.55215266332</v>
      </c>
      <c r="R35" s="86"/>
    </row>
    <row r="36" spans="2:18" x14ac:dyDescent="0.45">
      <c r="B36" s="7"/>
      <c r="C36" s="19">
        <f t="shared" si="11"/>
        <v>43952</v>
      </c>
      <c r="D36" s="26">
        <f t="shared" si="4"/>
        <v>8</v>
      </c>
      <c r="E36" s="34">
        <f t="shared" si="5"/>
        <v>1061855.3358455431</v>
      </c>
      <c r="F36" s="43">
        <f t="shared" si="6"/>
        <v>-38104.199999999997</v>
      </c>
      <c r="G36" s="47">
        <f t="shared" si="0"/>
        <v>2939.0858245522272</v>
      </c>
      <c r="H36" s="60">
        <f t="shared" si="7"/>
        <v>1026690.2216700953</v>
      </c>
      <c r="J36" s="74">
        <f t="shared" si="1"/>
        <v>8</v>
      </c>
      <c r="K36" s="48">
        <f t="shared" si="8"/>
        <v>1051418.001775319</v>
      </c>
      <c r="L36" s="43">
        <f t="shared" si="2"/>
        <v>-36255.793164666189</v>
      </c>
      <c r="M36" s="75">
        <f t="shared" si="3"/>
        <v>1015162.2086106528</v>
      </c>
      <c r="N36" s="32"/>
      <c r="O36" s="76">
        <f t="shared" si="9"/>
        <v>-304833.60000000003</v>
      </c>
      <c r="P36" s="39">
        <f t="shared" si="9"/>
        <v>26315.267742112108</v>
      </c>
      <c r="Q36" s="88">
        <f t="shared" si="10"/>
        <v>290046.34531732951</v>
      </c>
      <c r="R36" s="86"/>
    </row>
    <row r="37" spans="2:18" x14ac:dyDescent="0.45">
      <c r="B37" s="7"/>
      <c r="C37" s="19">
        <f t="shared" si="11"/>
        <v>43983</v>
      </c>
      <c r="D37" s="26">
        <f t="shared" si="4"/>
        <v>9</v>
      </c>
      <c r="E37" s="34">
        <f t="shared" si="5"/>
        <v>1026690.2216700953</v>
      </c>
      <c r="F37" s="43">
        <f t="shared" si="6"/>
        <v>-38104.199999999997</v>
      </c>
      <c r="G37" s="47">
        <f t="shared" si="0"/>
        <v>2838.1303433097505</v>
      </c>
      <c r="H37" s="60">
        <f t="shared" si="7"/>
        <v>991424.15201340511</v>
      </c>
      <c r="J37" s="74">
        <f t="shared" si="1"/>
        <v>9</v>
      </c>
      <c r="K37" s="48">
        <f t="shared" si="8"/>
        <v>1015162.2086106528</v>
      </c>
      <c r="L37" s="43">
        <f t="shared" si="2"/>
        <v>-36255.793164666189</v>
      </c>
      <c r="M37" s="75">
        <f t="shared" si="3"/>
        <v>978906.41544598667</v>
      </c>
      <c r="N37" s="32"/>
      <c r="O37" s="76">
        <f t="shared" si="9"/>
        <v>-342937.80000000005</v>
      </c>
      <c r="P37" s="39">
        <f t="shared" si="9"/>
        <v>29153.398085421857</v>
      </c>
      <c r="Q37" s="88">
        <f t="shared" si="10"/>
        <v>326302.13848199567</v>
      </c>
      <c r="R37" s="86"/>
    </row>
    <row r="38" spans="2:18" x14ac:dyDescent="0.45">
      <c r="B38" s="7"/>
      <c r="C38" s="19">
        <f t="shared" si="11"/>
        <v>44013</v>
      </c>
      <c r="D38" s="26">
        <f t="shared" si="4"/>
        <v>10</v>
      </c>
      <c r="E38" s="34">
        <f t="shared" si="5"/>
        <v>991424.15201340511</v>
      </c>
      <c r="F38" s="43">
        <f t="shared" si="6"/>
        <v>-38104.199999999997</v>
      </c>
      <c r="G38" s="47">
        <f t="shared" si="0"/>
        <v>2736.885029105491</v>
      </c>
      <c r="H38" s="60">
        <f t="shared" si="7"/>
        <v>956056.83704251063</v>
      </c>
      <c r="J38" s="74">
        <f t="shared" si="1"/>
        <v>10</v>
      </c>
      <c r="K38" s="48">
        <f t="shared" si="8"/>
        <v>978906.41544598667</v>
      </c>
      <c r="L38" s="43">
        <f t="shared" si="2"/>
        <v>-36255.793164666189</v>
      </c>
      <c r="M38" s="75">
        <f t="shared" si="3"/>
        <v>942650.62228132051</v>
      </c>
      <c r="N38" s="32"/>
      <c r="O38" s="76">
        <f t="shared" si="9"/>
        <v>-381042.00000000006</v>
      </c>
      <c r="P38" s="39">
        <f t="shared" si="9"/>
        <v>31890.283114527349</v>
      </c>
      <c r="Q38" s="88">
        <f t="shared" si="10"/>
        <v>362557.93164666183</v>
      </c>
      <c r="R38" s="87"/>
    </row>
    <row r="39" spans="2:18" x14ac:dyDescent="0.45">
      <c r="B39" s="7"/>
      <c r="C39" s="19">
        <f t="shared" si="11"/>
        <v>44044</v>
      </c>
      <c r="D39" s="26">
        <f t="shared" si="4"/>
        <v>11</v>
      </c>
      <c r="E39" s="34">
        <f t="shared" si="5"/>
        <v>956056.83704251063</v>
      </c>
      <c r="F39" s="43">
        <f t="shared" si="6"/>
        <v>-38104.199999999997</v>
      </c>
      <c r="G39" s="47">
        <f t="shared" si="0"/>
        <v>2635.3490498583697</v>
      </c>
      <c r="H39" s="60">
        <f t="shared" si="7"/>
        <v>920587.98609236907</v>
      </c>
      <c r="J39" s="74">
        <f t="shared" si="1"/>
        <v>11</v>
      </c>
      <c r="K39" s="48">
        <f t="shared" si="8"/>
        <v>942650.62228132051</v>
      </c>
      <c r="L39" s="43">
        <f t="shared" si="2"/>
        <v>-36255.793164666189</v>
      </c>
      <c r="M39" s="75">
        <f t="shared" si="3"/>
        <v>906394.82911665435</v>
      </c>
      <c r="N39" s="32"/>
      <c r="O39" s="76">
        <f t="shared" si="9"/>
        <v>-419146.20000000007</v>
      </c>
      <c r="P39" s="39">
        <f t="shared" si="9"/>
        <v>34525.632164385715</v>
      </c>
      <c r="Q39" s="88">
        <f t="shared" si="10"/>
        <v>398813.72481132799</v>
      </c>
      <c r="R39" s="87"/>
    </row>
    <row r="40" spans="2:18" x14ac:dyDescent="0.45">
      <c r="B40" s="7"/>
      <c r="C40" s="19">
        <f t="shared" si="11"/>
        <v>44075</v>
      </c>
      <c r="D40" s="26">
        <f t="shared" si="4"/>
        <v>12</v>
      </c>
      <c r="E40" s="34">
        <f t="shared" si="5"/>
        <v>920587.98609236907</v>
      </c>
      <c r="F40" s="43">
        <f t="shared" si="6"/>
        <v>-38104.199999999997</v>
      </c>
      <c r="G40" s="47">
        <f t="shared" si="0"/>
        <v>2533.521571098488</v>
      </c>
      <c r="H40" s="60">
        <f t="shared" si="7"/>
        <v>885017.3076634676</v>
      </c>
      <c r="J40" s="74">
        <f t="shared" si="1"/>
        <v>12</v>
      </c>
      <c r="K40" s="48">
        <f t="shared" si="8"/>
        <v>906394.82911665435</v>
      </c>
      <c r="L40" s="43">
        <f t="shared" si="2"/>
        <v>-36255.793164666189</v>
      </c>
      <c r="M40" s="75">
        <f t="shared" si="3"/>
        <v>870139.03595198819</v>
      </c>
      <c r="N40" s="32"/>
      <c r="O40" s="76">
        <f t="shared" si="9"/>
        <v>-457250.40000000008</v>
      </c>
      <c r="P40" s="39">
        <f t="shared" si="9"/>
        <v>37059.1537354842</v>
      </c>
      <c r="Q40" s="88">
        <f t="shared" si="10"/>
        <v>435069.51797599415</v>
      </c>
      <c r="R40" s="87"/>
    </row>
    <row r="41" spans="2:18" x14ac:dyDescent="0.45">
      <c r="B41" s="7"/>
      <c r="C41" s="19">
        <f t="shared" si="11"/>
        <v>44105</v>
      </c>
      <c r="D41" s="26">
        <f t="shared" si="4"/>
        <v>13</v>
      </c>
      <c r="E41" s="34">
        <f t="shared" si="5"/>
        <v>885017.3076634676</v>
      </c>
      <c r="F41" s="43">
        <f t="shared" si="6"/>
        <v>-38104.199999999997</v>
      </c>
      <c r="G41" s="47">
        <f t="shared" si="0"/>
        <v>2431.4017559602676</v>
      </c>
      <c r="H41" s="60">
        <f t="shared" si="7"/>
        <v>849344.50941942795</v>
      </c>
      <c r="J41" s="74">
        <f t="shared" si="1"/>
        <v>13</v>
      </c>
      <c r="K41" s="48">
        <f t="shared" si="8"/>
        <v>870139.03595198819</v>
      </c>
      <c r="L41" s="43">
        <f t="shared" si="2"/>
        <v>-36255.793164666189</v>
      </c>
      <c r="M41" s="75">
        <f t="shared" si="3"/>
        <v>833883.24278732203</v>
      </c>
      <c r="N41" s="32"/>
      <c r="O41" s="76">
        <f t="shared" si="9"/>
        <v>-495354.60000000009</v>
      </c>
      <c r="P41" s="39">
        <f t="shared" si="9"/>
        <v>39490.555491444466</v>
      </c>
      <c r="Q41" s="88">
        <f t="shared" si="10"/>
        <v>471325.31114066031</v>
      </c>
      <c r="R41" s="87"/>
    </row>
    <row r="42" spans="2:18" x14ac:dyDescent="0.45">
      <c r="B42" s="7"/>
      <c r="C42" s="19">
        <f t="shared" si="11"/>
        <v>44136</v>
      </c>
      <c r="D42" s="26">
        <f t="shared" si="4"/>
        <v>14</v>
      </c>
      <c r="E42" s="34">
        <f t="shared" si="5"/>
        <v>849344.50941942795</v>
      </c>
      <c r="F42" s="43">
        <f t="shared" si="6"/>
        <v>-38104.199999999997</v>
      </c>
      <c r="G42" s="47">
        <f t="shared" si="0"/>
        <v>2328.9887651755748</v>
      </c>
      <c r="H42" s="60">
        <f t="shared" si="7"/>
        <v>813569.29818460357</v>
      </c>
      <c r="J42" s="74">
        <f t="shared" si="1"/>
        <v>14</v>
      </c>
      <c r="K42" s="48">
        <f t="shared" si="8"/>
        <v>833883.24278732203</v>
      </c>
      <c r="L42" s="43">
        <f t="shared" si="2"/>
        <v>-36255.793164666189</v>
      </c>
      <c r="M42" s="75">
        <f t="shared" si="3"/>
        <v>797627.44962265587</v>
      </c>
      <c r="N42" s="32"/>
      <c r="O42" s="76">
        <f t="shared" si="9"/>
        <v>-533458.80000000005</v>
      </c>
      <c r="P42" s="39">
        <f t="shared" si="9"/>
        <v>41819.544256620044</v>
      </c>
      <c r="Q42" s="88">
        <f t="shared" si="10"/>
        <v>507581.10430532647</v>
      </c>
      <c r="R42" s="87"/>
    </row>
    <row r="43" spans="2:18" x14ac:dyDescent="0.45">
      <c r="B43" s="7"/>
      <c r="C43" s="19">
        <f t="shared" si="11"/>
        <v>44166</v>
      </c>
      <c r="D43" s="26">
        <f t="shared" si="4"/>
        <v>15</v>
      </c>
      <c r="E43" s="34">
        <f t="shared" si="5"/>
        <v>813569.29818460357</v>
      </c>
      <c r="F43" s="43">
        <f t="shared" si="6"/>
        <v>-38104.199999999997</v>
      </c>
      <c r="G43" s="47">
        <f t="shared" si="0"/>
        <v>2226.2817570668212</v>
      </c>
      <c r="H43" s="60">
        <f t="shared" si="7"/>
        <v>777691.37994167046</v>
      </c>
      <c r="J43" s="74">
        <f t="shared" si="1"/>
        <v>15</v>
      </c>
      <c r="K43" s="48">
        <f t="shared" si="8"/>
        <v>797627.44962265587</v>
      </c>
      <c r="L43" s="43">
        <f t="shared" si="2"/>
        <v>-36255.793164666189</v>
      </c>
      <c r="M43" s="75">
        <f t="shared" si="3"/>
        <v>761371.65645798971</v>
      </c>
      <c r="N43" s="32"/>
      <c r="O43" s="76">
        <f t="shared" si="9"/>
        <v>-571563</v>
      </c>
      <c r="P43" s="39">
        <f t="shared" si="9"/>
        <v>44045.826013686863</v>
      </c>
      <c r="Q43" s="88">
        <f t="shared" si="10"/>
        <v>543836.89746999263</v>
      </c>
      <c r="R43" s="87"/>
    </row>
    <row r="44" spans="2:18" x14ac:dyDescent="0.45">
      <c r="B44" s="7"/>
      <c r="C44" s="19">
        <f t="shared" si="11"/>
        <v>44197</v>
      </c>
      <c r="D44" s="26">
        <f t="shared" si="4"/>
        <v>16</v>
      </c>
      <c r="E44" s="34">
        <f t="shared" si="5"/>
        <v>777691.37994167046</v>
      </c>
      <c r="F44" s="43">
        <f t="shared" si="6"/>
        <v>-38104.199999999997</v>
      </c>
      <c r="G44" s="47">
        <f t="shared" si="0"/>
        <v>2123.2798875400481</v>
      </c>
      <c r="H44" s="60">
        <f t="shared" si="7"/>
        <v>741710.45982921054</v>
      </c>
      <c r="J44" s="74">
        <f t="shared" si="1"/>
        <v>16</v>
      </c>
      <c r="K44" s="48">
        <f t="shared" si="8"/>
        <v>761371.65645798971</v>
      </c>
      <c r="L44" s="43">
        <f t="shared" si="2"/>
        <v>-36255.793164666189</v>
      </c>
      <c r="M44" s="75">
        <f t="shared" si="3"/>
        <v>725115.86329332355</v>
      </c>
      <c r="N44" s="32"/>
      <c r="O44" s="76">
        <f t="shared" si="9"/>
        <v>-609667.19999999995</v>
      </c>
      <c r="P44" s="39">
        <f t="shared" si="9"/>
        <v>46169.105901226911</v>
      </c>
      <c r="Q44" s="88">
        <f t="shared" si="10"/>
        <v>580092.69063465879</v>
      </c>
      <c r="R44" s="87"/>
    </row>
    <row r="45" spans="2:18" x14ac:dyDescent="0.45">
      <c r="B45" s="7"/>
      <c r="C45" s="19">
        <f t="shared" si="11"/>
        <v>44228</v>
      </c>
      <c r="D45" s="26">
        <f t="shared" si="4"/>
        <v>17</v>
      </c>
      <c r="E45" s="34">
        <f t="shared" si="5"/>
        <v>741710.45982921054</v>
      </c>
      <c r="F45" s="43">
        <f t="shared" si="6"/>
        <v>-38104.199999999997</v>
      </c>
      <c r="G45" s="47">
        <f t="shared" si="0"/>
        <v>2019.9823100779877</v>
      </c>
      <c r="H45" s="60">
        <f t="shared" si="7"/>
        <v>705626.24213928857</v>
      </c>
      <c r="J45" s="74">
        <f t="shared" si="1"/>
        <v>17</v>
      </c>
      <c r="K45" s="48">
        <f t="shared" si="8"/>
        <v>725115.86329332355</v>
      </c>
      <c r="L45" s="43">
        <f t="shared" si="2"/>
        <v>-36255.793164666189</v>
      </c>
      <c r="M45" s="75">
        <f t="shared" si="3"/>
        <v>688860.07012865739</v>
      </c>
      <c r="N45" s="32"/>
      <c r="O45" s="76">
        <f t="shared" si="9"/>
        <v>-647771.39999999991</v>
      </c>
      <c r="P45" s="39">
        <f t="shared" si="9"/>
        <v>48189.088211304901</v>
      </c>
      <c r="Q45" s="88">
        <f t="shared" si="10"/>
        <v>616348.48379932495</v>
      </c>
      <c r="R45" s="87"/>
    </row>
    <row r="46" spans="2:18" x14ac:dyDescent="0.45">
      <c r="B46" s="7"/>
      <c r="C46" s="19">
        <f t="shared" si="11"/>
        <v>44256</v>
      </c>
      <c r="D46" s="26">
        <f t="shared" si="4"/>
        <v>18</v>
      </c>
      <c r="E46" s="34">
        <f t="shared" si="5"/>
        <v>705626.24213928857</v>
      </c>
      <c r="F46" s="43">
        <f t="shared" si="6"/>
        <v>-38104.199999999997</v>
      </c>
      <c r="G46" s="47">
        <f t="shared" si="0"/>
        <v>1916.388175733108</v>
      </c>
      <c r="H46" s="60">
        <f t="shared" si="7"/>
        <v>669438.43031502177</v>
      </c>
      <c r="J46" s="74">
        <f t="shared" si="1"/>
        <v>18</v>
      </c>
      <c r="K46" s="48">
        <f t="shared" si="8"/>
        <v>688860.07012865739</v>
      </c>
      <c r="L46" s="43">
        <f t="shared" si="2"/>
        <v>-36255.793164666189</v>
      </c>
      <c r="M46" s="75">
        <f t="shared" si="3"/>
        <v>652604.27696399123</v>
      </c>
      <c r="N46" s="32"/>
      <c r="O46" s="76">
        <f t="shared" ref="O46:P49" si="12">+O45+F46</f>
        <v>-685875.59999999986</v>
      </c>
      <c r="P46" s="39">
        <f t="shared" si="12"/>
        <v>50105.476387038012</v>
      </c>
      <c r="Q46" s="88">
        <f t="shared" si="10"/>
        <v>652604.27696399111</v>
      </c>
      <c r="R46" s="87"/>
    </row>
    <row r="47" spans="2:18" x14ac:dyDescent="0.45">
      <c r="B47" s="7"/>
      <c r="C47" s="19">
        <f t="shared" si="11"/>
        <v>44287</v>
      </c>
      <c r="D47" s="26">
        <f t="shared" si="4"/>
        <v>19</v>
      </c>
      <c r="E47" s="34">
        <f t="shared" si="5"/>
        <v>669438.43031502177</v>
      </c>
      <c r="F47" s="43">
        <f t="shared" si="6"/>
        <v>-38104.199999999997</v>
      </c>
      <c r="G47" s="47">
        <f t="shared" si="0"/>
        <v>1812.496633120634</v>
      </c>
      <c r="H47" s="60">
        <f t="shared" si="7"/>
        <v>633146.7269481424</v>
      </c>
      <c r="J47" s="74">
        <f t="shared" si="1"/>
        <v>19</v>
      </c>
      <c r="K47" s="48">
        <f t="shared" si="8"/>
        <v>652604.27696399123</v>
      </c>
      <c r="L47" s="43">
        <f t="shared" si="2"/>
        <v>-36255.793164666189</v>
      </c>
      <c r="M47" s="75">
        <f t="shared" si="3"/>
        <v>616348.48379932507</v>
      </c>
      <c r="N47" s="32"/>
      <c r="O47" s="76">
        <f t="shared" si="12"/>
        <v>-723979.79999999981</v>
      </c>
      <c r="P47" s="39">
        <f t="shared" si="12"/>
        <v>51917.973020158643</v>
      </c>
      <c r="Q47" s="88">
        <f t="shared" si="10"/>
        <v>688860.07012865727</v>
      </c>
      <c r="R47" s="87"/>
    </row>
    <row r="48" spans="2:18" x14ac:dyDescent="0.45">
      <c r="B48" s="7"/>
      <c r="C48" s="19">
        <f t="shared" si="11"/>
        <v>44317</v>
      </c>
      <c r="D48" s="26">
        <f t="shared" si="4"/>
        <v>20</v>
      </c>
      <c r="E48" s="34">
        <f t="shared" si="5"/>
        <v>633146.7269481424</v>
      </c>
      <c r="F48" s="43">
        <f t="shared" si="6"/>
        <v>-38104.199999999997</v>
      </c>
      <c r="G48" s="47">
        <f t="shared" si="0"/>
        <v>1708.3068284115504</v>
      </c>
      <c r="H48" s="60">
        <f t="shared" si="7"/>
        <v>596750.83377655398</v>
      </c>
      <c r="J48" s="74">
        <f t="shared" si="1"/>
        <v>20</v>
      </c>
      <c r="K48" s="48">
        <f t="shared" si="8"/>
        <v>616348.48379932507</v>
      </c>
      <c r="L48" s="43">
        <f t="shared" si="2"/>
        <v>-36255.793164666189</v>
      </c>
      <c r="M48" s="75">
        <f t="shared" si="3"/>
        <v>580092.69063465891</v>
      </c>
      <c r="N48" s="32"/>
      <c r="O48" s="76">
        <f t="shared" si="12"/>
        <v>-762083.99999999977</v>
      </c>
      <c r="P48" s="39">
        <f t="shared" si="12"/>
        <v>53626.279848570193</v>
      </c>
      <c r="Q48" s="88">
        <f t="shared" si="10"/>
        <v>725115.86329332343</v>
      </c>
      <c r="R48" s="87"/>
    </row>
    <row r="49" spans="2:18" x14ac:dyDescent="0.45">
      <c r="B49" s="7"/>
      <c r="C49" s="19">
        <f t="shared" si="11"/>
        <v>44348</v>
      </c>
      <c r="D49" s="26">
        <f t="shared" si="4"/>
        <v>21</v>
      </c>
      <c r="E49" s="34">
        <f t="shared" si="5"/>
        <v>596750.83377655398</v>
      </c>
      <c r="F49" s="43">
        <f t="shared" si="6"/>
        <v>-38104.199999999997</v>
      </c>
      <c r="G49" s="47">
        <f t="shared" si="0"/>
        <v>1603.8179053255869</v>
      </c>
      <c r="H49" s="60">
        <f t="shared" si="7"/>
        <v>560250.45168187958</v>
      </c>
      <c r="J49" s="74">
        <f t="shared" si="1"/>
        <v>21</v>
      </c>
      <c r="K49" s="48">
        <f t="shared" si="8"/>
        <v>580092.69063465891</v>
      </c>
      <c r="L49" s="43">
        <f t="shared" si="2"/>
        <v>-36255.793164666189</v>
      </c>
      <c r="M49" s="75">
        <f t="shared" si="3"/>
        <v>543836.89746999275</v>
      </c>
      <c r="N49" s="80"/>
      <c r="O49" s="76">
        <f t="shared" si="12"/>
        <v>-800188.19999999972</v>
      </c>
      <c r="P49" s="39">
        <f t="shared" si="12"/>
        <v>55230.097753895781</v>
      </c>
      <c r="Q49" s="88">
        <f t="shared" si="10"/>
        <v>761371.65645798959</v>
      </c>
      <c r="R49" s="87"/>
    </row>
    <row r="50" spans="2:18" x14ac:dyDescent="0.45">
      <c r="B50" s="7"/>
      <c r="C50" s="19">
        <f t="shared" si="11"/>
        <v>44378</v>
      </c>
      <c r="D50" s="26">
        <f t="shared" si="4"/>
        <v>22</v>
      </c>
      <c r="E50" s="34">
        <f t="shared" si="5"/>
        <v>560250.45168187958</v>
      </c>
      <c r="F50" s="43">
        <f t="shared" si="6"/>
        <v>-38104.199999999997</v>
      </c>
      <c r="G50" s="47">
        <f t="shared" si="0"/>
        <v>1499.0290051241782</v>
      </c>
      <c r="H50" s="60">
        <f t="shared" si="7"/>
        <v>523645.28068700375</v>
      </c>
      <c r="J50" s="74">
        <f t="shared" si="1"/>
        <v>22</v>
      </c>
      <c r="K50" s="48">
        <f t="shared" si="8"/>
        <v>543836.89746999275</v>
      </c>
      <c r="L50" s="43">
        <f t="shared" si="2"/>
        <v>-36255.793164666189</v>
      </c>
      <c r="M50" s="75">
        <f t="shared" si="3"/>
        <v>507581.10430532659</v>
      </c>
      <c r="N50" s="32"/>
      <c r="O50" s="76">
        <f t="shared" ref="O50:O64" si="13">+O49+F50</f>
        <v>-838292.39999999967</v>
      </c>
      <c r="P50" s="39">
        <f t="shared" ref="P50:P64" si="14">+P49+G50</f>
        <v>56729.126759019957</v>
      </c>
      <c r="Q50" s="88">
        <f t="shared" ref="Q50:Q64" si="15">+Q49-L50</f>
        <v>797627.44962265575</v>
      </c>
      <c r="R50" s="32"/>
    </row>
    <row r="51" spans="2:18" x14ac:dyDescent="0.45">
      <c r="B51" s="7"/>
      <c r="C51" s="19">
        <f t="shared" si="11"/>
        <v>44409</v>
      </c>
      <c r="D51" s="26">
        <f t="shared" si="4"/>
        <v>23</v>
      </c>
      <c r="E51" s="34">
        <f t="shared" si="5"/>
        <v>523645.28068700375</v>
      </c>
      <c r="F51" s="43">
        <f t="shared" si="6"/>
        <v>-38104.199999999997</v>
      </c>
      <c r="G51" s="47">
        <f t="shared" si="0"/>
        <v>1393.9392666034075</v>
      </c>
      <c r="H51" s="60">
        <f t="shared" si="7"/>
        <v>486935.01995360712</v>
      </c>
      <c r="J51" s="74">
        <f t="shared" si="1"/>
        <v>23</v>
      </c>
      <c r="K51" s="48">
        <f t="shared" si="8"/>
        <v>507581.10430532659</v>
      </c>
      <c r="L51" s="43">
        <f t="shared" si="2"/>
        <v>-36255.793164666189</v>
      </c>
      <c r="M51" s="75">
        <f t="shared" si="3"/>
        <v>471325.31114066043</v>
      </c>
      <c r="N51" s="32"/>
      <c r="O51" s="76">
        <f t="shared" si="13"/>
        <v>-876396.59999999963</v>
      </c>
      <c r="P51" s="39">
        <f t="shared" si="14"/>
        <v>58123.066025623368</v>
      </c>
      <c r="Q51" s="88">
        <f t="shared" si="15"/>
        <v>833883.24278732191</v>
      </c>
      <c r="R51" s="32"/>
    </row>
    <row r="52" spans="2:18" x14ac:dyDescent="0.45">
      <c r="B52" s="7"/>
      <c r="C52" s="19">
        <f t="shared" si="11"/>
        <v>44440</v>
      </c>
      <c r="D52" s="26">
        <f t="shared" si="4"/>
        <v>24</v>
      </c>
      <c r="E52" s="34">
        <f t="shared" si="5"/>
        <v>486935.01995360712</v>
      </c>
      <c r="F52" s="43">
        <f t="shared" si="6"/>
        <v>-38104.199999999997</v>
      </c>
      <c r="G52" s="47">
        <f t="shared" si="0"/>
        <v>1288.5478260869297</v>
      </c>
      <c r="H52" s="60">
        <f t="shared" si="7"/>
        <v>450119.36777969403</v>
      </c>
      <c r="J52" s="74">
        <f t="shared" si="1"/>
        <v>24</v>
      </c>
      <c r="K52" s="48">
        <f t="shared" si="8"/>
        <v>471325.31114066043</v>
      </c>
      <c r="L52" s="43">
        <f t="shared" si="2"/>
        <v>-36255.793164666189</v>
      </c>
      <c r="M52" s="75">
        <f t="shared" si="3"/>
        <v>435069.51797599427</v>
      </c>
      <c r="N52" s="32"/>
      <c r="O52" s="76">
        <f t="shared" si="13"/>
        <v>-914500.79999999958</v>
      </c>
      <c r="P52" s="39">
        <f t="shared" si="14"/>
        <v>59411.613851710295</v>
      </c>
      <c r="Q52" s="88">
        <f t="shared" si="15"/>
        <v>870139.03595198807</v>
      </c>
      <c r="R52" s="32"/>
    </row>
    <row r="53" spans="2:18" x14ac:dyDescent="0.45">
      <c r="B53" s="7"/>
      <c r="C53" s="19">
        <f t="shared" si="11"/>
        <v>44470</v>
      </c>
      <c r="D53" s="26">
        <f t="shared" si="4"/>
        <v>25</v>
      </c>
      <c r="E53" s="34">
        <f t="shared" si="5"/>
        <v>450119.36777969403</v>
      </c>
      <c r="F53" s="43">
        <f t="shared" si="6"/>
        <v>-38104.199999999997</v>
      </c>
      <c r="G53" s="47">
        <f t="shared" si="0"/>
        <v>1182.8538174188714</v>
      </c>
      <c r="H53" s="60">
        <f t="shared" si="7"/>
        <v>413198.02159711288</v>
      </c>
      <c r="J53" s="74">
        <f t="shared" si="1"/>
        <v>25</v>
      </c>
      <c r="K53" s="48">
        <f t="shared" si="8"/>
        <v>435069.51797599427</v>
      </c>
      <c r="L53" s="43">
        <f t="shared" si="2"/>
        <v>-36255.793164666189</v>
      </c>
      <c r="M53" s="75">
        <f t="shared" si="3"/>
        <v>398813.72481132811</v>
      </c>
      <c r="N53" s="32"/>
      <c r="O53" s="76">
        <f t="shared" si="13"/>
        <v>-952604.99999999953</v>
      </c>
      <c r="P53" s="39">
        <f t="shared" si="14"/>
        <v>60594.467669129168</v>
      </c>
      <c r="Q53" s="88">
        <f t="shared" si="15"/>
        <v>906394.82911665423</v>
      </c>
      <c r="R53" s="32"/>
    </row>
    <row r="54" spans="2:18" x14ac:dyDescent="0.45">
      <c r="B54" s="7"/>
      <c r="C54" s="19">
        <f t="shared" si="11"/>
        <v>44501</v>
      </c>
      <c r="D54" s="26">
        <f t="shared" si="4"/>
        <v>26</v>
      </c>
      <c r="E54" s="34">
        <f t="shared" si="5"/>
        <v>413198.02159711288</v>
      </c>
      <c r="F54" s="43">
        <f t="shared" si="6"/>
        <v>-38104.199999999997</v>
      </c>
      <c r="G54" s="47">
        <f t="shared" si="0"/>
        <v>1076.8563719567139</v>
      </c>
      <c r="H54" s="60">
        <f t="shared" si="7"/>
        <v>376170.67796906957</v>
      </c>
      <c r="J54" s="74">
        <f t="shared" si="1"/>
        <v>26</v>
      </c>
      <c r="K54" s="48">
        <f t="shared" si="8"/>
        <v>398813.72481132811</v>
      </c>
      <c r="L54" s="43">
        <f t="shared" si="2"/>
        <v>-36255.793164666189</v>
      </c>
      <c r="M54" s="75">
        <f t="shared" si="3"/>
        <v>362557.93164666195</v>
      </c>
      <c r="N54" s="32"/>
      <c r="O54" s="76">
        <f t="shared" si="13"/>
        <v>-990709.19999999949</v>
      </c>
      <c r="P54" s="39">
        <f t="shared" si="14"/>
        <v>61671.324041085885</v>
      </c>
      <c r="Q54" s="88">
        <f t="shared" si="15"/>
        <v>942650.62228132039</v>
      </c>
      <c r="R54" s="32"/>
    </row>
    <row r="55" spans="2:18" x14ac:dyDescent="0.45">
      <c r="B55" s="7"/>
      <c r="C55" s="19">
        <f t="shared" si="11"/>
        <v>44531</v>
      </c>
      <c r="D55" s="26">
        <f t="shared" si="4"/>
        <v>27</v>
      </c>
      <c r="E55" s="34">
        <f t="shared" si="5"/>
        <v>376170.67796906957</v>
      </c>
      <c r="F55" s="43">
        <f t="shared" si="6"/>
        <v>-38104.199999999997</v>
      </c>
      <c r="G55" s="47">
        <f t="shared" si="0"/>
        <v>970.55461856415366</v>
      </c>
      <c r="H55" s="60">
        <f t="shared" si="7"/>
        <v>339037.0325876337</v>
      </c>
      <c r="J55" s="74">
        <f t="shared" si="1"/>
        <v>27</v>
      </c>
      <c r="K55" s="48">
        <f t="shared" si="8"/>
        <v>362557.93164666195</v>
      </c>
      <c r="L55" s="43">
        <f t="shared" si="2"/>
        <v>-36255.793164666189</v>
      </c>
      <c r="M55" s="75">
        <f t="shared" si="3"/>
        <v>326302.13848199579</v>
      </c>
      <c r="N55" s="32"/>
      <c r="O55" s="76">
        <f t="shared" si="13"/>
        <v>-1028813.3999999994</v>
      </c>
      <c r="P55" s="39">
        <f t="shared" si="14"/>
        <v>62641.878659650036</v>
      </c>
      <c r="Q55" s="88">
        <f t="shared" si="15"/>
        <v>978906.41544598655</v>
      </c>
      <c r="R55" s="32"/>
    </row>
    <row r="56" spans="2:18" x14ac:dyDescent="0.45">
      <c r="B56" s="7"/>
      <c r="C56" s="19">
        <f t="shared" si="11"/>
        <v>44562</v>
      </c>
      <c r="D56" s="26">
        <f t="shared" si="4"/>
        <v>28</v>
      </c>
      <c r="E56" s="34">
        <f t="shared" si="5"/>
        <v>339037.0325876337</v>
      </c>
      <c r="F56" s="43">
        <f t="shared" si="6"/>
        <v>-38104.199999999997</v>
      </c>
      <c r="G56" s="47">
        <f t="shared" si="0"/>
        <v>863.94768360394312</v>
      </c>
      <c r="H56" s="60">
        <f t="shared" si="7"/>
        <v>301796.78027123766</v>
      </c>
      <c r="J56" s="74">
        <f t="shared" si="1"/>
        <v>28</v>
      </c>
      <c r="K56" s="48">
        <f t="shared" si="8"/>
        <v>326302.13848199579</v>
      </c>
      <c r="L56" s="43">
        <f t="shared" si="2"/>
        <v>-36255.793164666189</v>
      </c>
      <c r="M56" s="75">
        <f t="shared" si="3"/>
        <v>290046.34531732963</v>
      </c>
      <c r="N56" s="32"/>
      <c r="O56" s="76">
        <f t="shared" si="13"/>
        <v>-1066917.5999999994</v>
      </c>
      <c r="P56" s="39">
        <f t="shared" si="14"/>
        <v>63505.826343253982</v>
      </c>
      <c r="Q56" s="88">
        <f t="shared" si="15"/>
        <v>1015162.2086106527</v>
      </c>
      <c r="R56" s="32"/>
    </row>
    <row r="57" spans="2:18" x14ac:dyDescent="0.45">
      <c r="B57" s="7"/>
      <c r="C57" s="19">
        <f t="shared" si="11"/>
        <v>44593</v>
      </c>
      <c r="D57" s="26">
        <f t="shared" si="4"/>
        <v>29</v>
      </c>
      <c r="E57" s="34">
        <f t="shared" si="5"/>
        <v>301796.78027123766</v>
      </c>
      <c r="F57" s="43">
        <f t="shared" si="6"/>
        <v>-38104.199999999997</v>
      </c>
      <c r="G57" s="47">
        <f t="shared" si="0"/>
        <v>757.03469093071078</v>
      </c>
      <c r="H57" s="60">
        <f t="shared" si="7"/>
        <v>264449.61496216833</v>
      </c>
      <c r="J57" s="74">
        <f t="shared" si="1"/>
        <v>29</v>
      </c>
      <c r="K57" s="48">
        <f t="shared" si="8"/>
        <v>290046.34531732963</v>
      </c>
      <c r="L57" s="43">
        <f t="shared" si="2"/>
        <v>-36255.793164666189</v>
      </c>
      <c r="M57" s="75">
        <f t="shared" si="3"/>
        <v>253790.55215266344</v>
      </c>
      <c r="N57" s="32"/>
      <c r="O57" s="76">
        <f t="shared" si="13"/>
        <v>-1105021.7999999993</v>
      </c>
      <c r="P57" s="39">
        <f t="shared" si="14"/>
        <v>64262.861034184694</v>
      </c>
      <c r="Q57" s="88">
        <f t="shared" si="15"/>
        <v>1051418.001775319</v>
      </c>
      <c r="R57" s="32"/>
    </row>
    <row r="58" spans="2:18" x14ac:dyDescent="0.45">
      <c r="B58" s="7"/>
      <c r="C58" s="19">
        <f t="shared" si="11"/>
        <v>44621</v>
      </c>
      <c r="D58" s="26">
        <f t="shared" si="4"/>
        <v>30</v>
      </c>
      <c r="E58" s="34">
        <f t="shared" si="5"/>
        <v>264449.61496216833</v>
      </c>
      <c r="F58" s="43">
        <f t="shared" si="6"/>
        <v>-38104.199999999997</v>
      </c>
      <c r="G58" s="47">
        <f t="shared" si="0"/>
        <v>649.81476188376007</v>
      </c>
      <c r="H58" s="60">
        <f t="shared" si="7"/>
        <v>226995.22972405207</v>
      </c>
      <c r="J58" s="74">
        <f t="shared" si="1"/>
        <v>30</v>
      </c>
      <c r="K58" s="48">
        <f t="shared" si="8"/>
        <v>253790.55215266344</v>
      </c>
      <c r="L58" s="43">
        <f t="shared" si="2"/>
        <v>-36255.793164666189</v>
      </c>
      <c r="M58" s="75">
        <f t="shared" si="3"/>
        <v>217534.75898799725</v>
      </c>
      <c r="N58" s="32"/>
      <c r="O58" s="76">
        <f t="shared" si="13"/>
        <v>-1143125.9999999993</v>
      </c>
      <c r="P58" s="39">
        <f t="shared" si="14"/>
        <v>64912.675796068455</v>
      </c>
      <c r="Q58" s="88">
        <f t="shared" si="15"/>
        <v>1087673.7949399853</v>
      </c>
      <c r="R58" s="32"/>
    </row>
    <row r="59" spans="2:18" x14ac:dyDescent="0.45">
      <c r="B59" s="7"/>
      <c r="C59" s="19">
        <f t="shared" si="11"/>
        <v>44652</v>
      </c>
      <c r="D59" s="26">
        <f t="shared" si="4"/>
        <v>31</v>
      </c>
      <c r="E59" s="34">
        <f t="shared" si="5"/>
        <v>226995.22972405207</v>
      </c>
      <c r="F59" s="43">
        <f t="shared" si="6"/>
        <v>-38104.199999999997</v>
      </c>
      <c r="G59" s="47">
        <f t="shared" si="0"/>
        <v>542.28701527984902</v>
      </c>
      <c r="H59" s="60">
        <f t="shared" si="7"/>
        <v>189433.3167393319</v>
      </c>
      <c r="J59" s="74">
        <f t="shared" si="1"/>
        <v>31</v>
      </c>
      <c r="K59" s="48">
        <f t="shared" si="8"/>
        <v>217534.75898799725</v>
      </c>
      <c r="L59" s="43">
        <f t="shared" si="2"/>
        <v>-36255.793164666189</v>
      </c>
      <c r="M59" s="75">
        <f t="shared" si="3"/>
        <v>181278.96582333106</v>
      </c>
      <c r="N59" s="32"/>
      <c r="O59" s="76">
        <f t="shared" si="13"/>
        <v>-1181230.1999999993</v>
      </c>
      <c r="P59" s="39">
        <f t="shared" si="14"/>
        <v>65454.962811348305</v>
      </c>
      <c r="Q59" s="88">
        <f t="shared" si="15"/>
        <v>1123929.5881046515</v>
      </c>
      <c r="R59" s="32"/>
    </row>
    <row r="60" spans="2:18" x14ac:dyDescent="0.45">
      <c r="B60" s="7"/>
      <c r="C60" s="19">
        <f t="shared" si="11"/>
        <v>44682</v>
      </c>
      <c r="D60" s="26">
        <f t="shared" si="4"/>
        <v>32</v>
      </c>
      <c r="E60" s="34">
        <f t="shared" si="5"/>
        <v>189433.3167393319</v>
      </c>
      <c r="F60" s="43">
        <f t="shared" si="6"/>
        <v>-38104.199999999997</v>
      </c>
      <c r="G60" s="47">
        <f t="shared" si="0"/>
        <v>434.45056740594765</v>
      </c>
      <c r="H60" s="60">
        <f t="shared" si="7"/>
        <v>151763.56730673788</v>
      </c>
      <c r="J60" s="74">
        <f t="shared" si="1"/>
        <v>32</v>
      </c>
      <c r="K60" s="48">
        <f t="shared" si="8"/>
        <v>181278.96582333106</v>
      </c>
      <c r="L60" s="43">
        <f t="shared" si="2"/>
        <v>-36255.793164666189</v>
      </c>
      <c r="M60" s="75">
        <f t="shared" si="3"/>
        <v>145023.17265866487</v>
      </c>
      <c r="N60" s="32"/>
      <c r="O60" s="76">
        <f t="shared" si="13"/>
        <v>-1219334.3999999992</v>
      </c>
      <c r="P60" s="39">
        <f t="shared" si="14"/>
        <v>65889.413378754252</v>
      </c>
      <c r="Q60" s="88">
        <f t="shared" si="15"/>
        <v>1160185.3812693178</v>
      </c>
      <c r="R60" s="32"/>
    </row>
    <row r="61" spans="2:18" x14ac:dyDescent="0.45">
      <c r="B61" s="7"/>
      <c r="C61" s="19">
        <f t="shared" si="11"/>
        <v>44713</v>
      </c>
      <c r="D61" s="26">
        <f t="shared" si="4"/>
        <v>33</v>
      </c>
      <c r="E61" s="34">
        <f t="shared" si="5"/>
        <v>151763.56730673788</v>
      </c>
      <c r="F61" s="43">
        <f t="shared" si="6"/>
        <v>-38104.199999999997</v>
      </c>
      <c r="G61" s="47">
        <f t="shared" si="0"/>
        <v>326.30453201197537</v>
      </c>
      <c r="H61" s="60">
        <f t="shared" si="7"/>
        <v>113985.67183874985</v>
      </c>
      <c r="J61" s="74">
        <f t="shared" si="1"/>
        <v>33</v>
      </c>
      <c r="K61" s="48">
        <f t="shared" si="8"/>
        <v>145023.17265866487</v>
      </c>
      <c r="L61" s="43">
        <f t="shared" si="2"/>
        <v>-36255.793164666189</v>
      </c>
      <c r="M61" s="75">
        <f t="shared" si="3"/>
        <v>108767.37949399868</v>
      </c>
      <c r="N61" s="32"/>
      <c r="O61" s="76">
        <f t="shared" si="13"/>
        <v>-1257438.5999999992</v>
      </c>
      <c r="P61" s="39">
        <f t="shared" si="14"/>
        <v>66215.717910766223</v>
      </c>
      <c r="Q61" s="88">
        <f t="shared" si="15"/>
        <v>1196441.1744339841</v>
      </c>
      <c r="R61" s="32"/>
    </row>
    <row r="62" spans="2:18" x14ac:dyDescent="0.45">
      <c r="B62" s="7"/>
      <c r="C62" s="19">
        <f t="shared" si="11"/>
        <v>44743</v>
      </c>
      <c r="D62" s="26">
        <f t="shared" si="4"/>
        <v>34</v>
      </c>
      <c r="E62" s="34">
        <f t="shared" si="5"/>
        <v>113985.67183874985</v>
      </c>
      <c r="F62" s="43">
        <f t="shared" si="6"/>
        <v>-38104.199999999997</v>
      </c>
      <c r="G62" s="47">
        <f t="shared" si="0"/>
        <v>217.84802030351727</v>
      </c>
      <c r="H62" s="60">
        <f t="shared" si="7"/>
        <v>76099.319859053372</v>
      </c>
      <c r="J62" s="74">
        <f t="shared" si="1"/>
        <v>34</v>
      </c>
      <c r="K62" s="48">
        <f t="shared" si="8"/>
        <v>108767.37949399868</v>
      </c>
      <c r="L62" s="43">
        <f t="shared" si="2"/>
        <v>-36255.793164666189</v>
      </c>
      <c r="M62" s="75">
        <f t="shared" si="3"/>
        <v>72511.586329332495</v>
      </c>
      <c r="N62" s="32"/>
      <c r="O62" s="76">
        <f t="shared" si="13"/>
        <v>-1295542.7999999991</v>
      </c>
      <c r="P62" s="39">
        <f t="shared" si="14"/>
        <v>66433.565931069737</v>
      </c>
      <c r="Q62" s="88">
        <f t="shared" si="15"/>
        <v>1232696.9675986504</v>
      </c>
      <c r="R62" s="32"/>
    </row>
    <row r="63" spans="2:18" x14ac:dyDescent="0.45">
      <c r="B63" s="7"/>
      <c r="C63" s="19">
        <f t="shared" si="11"/>
        <v>44774</v>
      </c>
      <c r="D63" s="26">
        <f t="shared" si="4"/>
        <v>35</v>
      </c>
      <c r="E63" s="34">
        <f t="shared" si="5"/>
        <v>76099.319859053372</v>
      </c>
      <c r="F63" s="43">
        <f t="shared" si="6"/>
        <v>-38104.199999999997</v>
      </c>
      <c r="G63" s="47">
        <f t="shared" si="0"/>
        <v>109.08014093451982</v>
      </c>
      <c r="H63" s="60">
        <f t="shared" si="7"/>
        <v>38104.199999987897</v>
      </c>
      <c r="J63" s="74">
        <f t="shared" si="1"/>
        <v>35</v>
      </c>
      <c r="K63" s="48">
        <f t="shared" si="8"/>
        <v>72511.586329332495</v>
      </c>
      <c r="L63" s="43">
        <f t="shared" si="2"/>
        <v>-36255.793164666189</v>
      </c>
      <c r="M63" s="75">
        <f t="shared" si="3"/>
        <v>36255.793164666306</v>
      </c>
      <c r="N63" s="32"/>
      <c r="O63" s="76">
        <f t="shared" si="13"/>
        <v>-1333646.9999999991</v>
      </c>
      <c r="P63" s="39">
        <f t="shared" si="14"/>
        <v>66542.646072004252</v>
      </c>
      <c r="Q63" s="88">
        <f t="shared" si="15"/>
        <v>1268952.7607633166</v>
      </c>
      <c r="R63" s="32"/>
    </row>
    <row r="64" spans="2:18" x14ac:dyDescent="0.45">
      <c r="B64" s="7"/>
      <c r="C64" s="19">
        <f t="shared" si="11"/>
        <v>44805</v>
      </c>
      <c r="D64" s="26">
        <f t="shared" si="4"/>
        <v>36</v>
      </c>
      <c r="E64" s="34">
        <f t="shared" si="5"/>
        <v>38104.199999987897</v>
      </c>
      <c r="F64" s="43">
        <f t="shared" si="6"/>
        <v>-38104.199999999997</v>
      </c>
      <c r="G64" s="47">
        <f t="shared" si="0"/>
        <v>-3.4737637687244976E-11</v>
      </c>
      <c r="H64" s="60">
        <f t="shared" si="7"/>
        <v>-1.2134655150074282E-8</v>
      </c>
      <c r="J64" s="74">
        <f t="shared" si="1"/>
        <v>36</v>
      </c>
      <c r="K64" s="48">
        <f t="shared" si="8"/>
        <v>36255.793164666306</v>
      </c>
      <c r="L64" s="43">
        <f t="shared" si="2"/>
        <v>-36255.793164666189</v>
      </c>
      <c r="M64" s="75">
        <f t="shared" si="3"/>
        <v>1.1641532182693481E-10</v>
      </c>
      <c r="N64" s="32"/>
      <c r="O64" s="76">
        <f t="shared" si="13"/>
        <v>-1371751.199999999</v>
      </c>
      <c r="P64" s="39">
        <f t="shared" si="14"/>
        <v>66542.646072004223</v>
      </c>
      <c r="Q64" s="88">
        <f t="shared" si="15"/>
        <v>1305208.5539279829</v>
      </c>
      <c r="R64" s="32"/>
    </row>
    <row r="65" spans="2:18" x14ac:dyDescent="0.45">
      <c r="B65" s="7"/>
      <c r="C65" s="19">
        <f t="shared" si="11"/>
        <v>44835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89"/>
      <c r="P65" s="8"/>
      <c r="Q65" s="90"/>
      <c r="R65" s="32"/>
    </row>
    <row r="66" spans="2:18" x14ac:dyDescent="0.45">
      <c r="B66" s="7"/>
      <c r="C66" s="19">
        <f t="shared" si="11"/>
        <v>44866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89"/>
      <c r="P66" s="8"/>
      <c r="Q66" s="90"/>
      <c r="R66" s="32"/>
    </row>
    <row r="67" spans="2:18" x14ac:dyDescent="0.45">
      <c r="B67" s="7"/>
      <c r="C67" s="19">
        <f t="shared" si="11"/>
        <v>44896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89"/>
      <c r="P67" s="8"/>
      <c r="Q67" s="90"/>
      <c r="R67" s="32"/>
    </row>
    <row r="68" spans="2:18" x14ac:dyDescent="0.45">
      <c r="B68" s="7"/>
      <c r="C68" s="19">
        <f t="shared" si="11"/>
        <v>44927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44958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44986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45017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45047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45078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45108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45139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45170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45200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45231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45261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45292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45323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45352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45383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45413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45444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45474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45505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45536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45566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45597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45627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45658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45689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45717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6">DATE(YEAR(C94),MONTH(C94)+1,DAY(C94))</f>
        <v>45748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6"/>
        <v>45778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6"/>
        <v>45809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6"/>
        <v>45839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6"/>
        <v>45870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6"/>
        <v>45901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6"/>
        <v>45931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6"/>
        <v>45962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6"/>
        <v>45992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6"/>
        <v>46023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6"/>
        <v>46054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6"/>
        <v>46082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6"/>
        <v>46113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-1.1874362826347351E-8</v>
      </c>
      <c r="F110" s="43">
        <f>SUM(F29:F107)</f>
        <v>-1371751.199999999</v>
      </c>
      <c r="G110" s="43">
        <f>SUM(G29:G107)</f>
        <v>66542.646072004223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761371.65645798971</v>
      </c>
      <c r="G116" s="119">
        <f>INDEX(M:M,MATCH(DATE(2021,12,DAY(D10)),C:C))</f>
        <v>326302.13848199579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-438654.34735403687</v>
      </c>
      <c r="G119" s="113">
        <f ca="1">IFERROR(SUM(INDIRECT("F"&amp;MATCH(DATE(2022,1,DAY(D10)),C:C)):INDIRECT("G"&amp;MATCH(DATE(2022,1,DAY(D10)),C:C)+11)),VALUE("0"))</f>
        <v>-339037.03258764587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-339037.03258764587</v>
      </c>
      <c r="G123" s="113">
        <f ca="1">IFERROR(SUM(INDIRECT("F"&amp;MATCH(DATE(2023,1,DAY(D10)),C:C)):G107),VALUE("0"))</f>
        <v>0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-342937.80000000005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0</v>
      </c>
    </row>
  </sheetData>
  <mergeCells count="4">
    <mergeCell ref="F112:G112"/>
    <mergeCell ref="D25:H25"/>
    <mergeCell ref="J25:M25"/>
    <mergeCell ref="O25:Q2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85BC0-F7BF-4058-9CE6-3336D4A0698B}">
  <dimension ref="A1:R130"/>
  <sheetViews>
    <sheetView topLeftCell="A109" zoomScale="85" zoomScaleNormal="85" workbookViewId="0">
      <selection activeCell="F116" sqref="F116"/>
    </sheetView>
  </sheetViews>
  <sheetFormatPr defaultRowHeight="14.25" x14ac:dyDescent="0.45"/>
  <cols>
    <col min="1" max="1" width="12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192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44331</v>
      </c>
      <c r="E10" s="12">
        <f>VLOOKUP($C$2,'Lease Summary'!D:H,4,FALSE)</f>
        <v>45426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29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142174.34758663655</v>
      </c>
      <c r="J22" s="17" t="s">
        <v>234</v>
      </c>
      <c r="K22" s="22"/>
      <c r="L22" s="7"/>
      <c r="M22" s="65">
        <f>H22</f>
        <v>142174.34758663655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142174.34758663655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f>3181.57*1.1</f>
        <v>3499.7270000000003</v>
      </c>
      <c r="B29" s="103">
        <f>A29/((1+$F$16)^($F$12-1))</f>
        <v>3165.6153841313503</v>
      </c>
      <c r="C29" s="19">
        <f>D10</f>
        <v>44331</v>
      </c>
      <c r="D29" s="27">
        <v>1</v>
      </c>
      <c r="E29" s="33">
        <f>A28</f>
        <v>142174.34758663655</v>
      </c>
      <c r="F29" s="106">
        <f>-A29</f>
        <v>-3499.7270000000003</v>
      </c>
      <c r="G29" s="46">
        <f>A29-B29</f>
        <v>334.11161586865001</v>
      </c>
      <c r="H29" s="59">
        <f>SUM(E29:G29)</f>
        <v>139008.7322025052</v>
      </c>
      <c r="J29" s="69">
        <f t="shared" ref="J29:J64" si="0">D29</f>
        <v>1</v>
      </c>
      <c r="K29" s="70">
        <f>M22</f>
        <v>142174.34758663655</v>
      </c>
      <c r="L29" s="42">
        <f t="shared" ref="L29:L40" si="1">-$M$22/$F$12</f>
        <v>-3949.2874329621263</v>
      </c>
      <c r="M29" s="71">
        <f t="shared" ref="M29:M64" si="2">K29+L29</f>
        <v>138225.06015367442</v>
      </c>
      <c r="N29" s="32"/>
      <c r="O29" s="72">
        <f>+F29</f>
        <v>-3499.7270000000003</v>
      </c>
      <c r="P29" s="73">
        <f>+G29</f>
        <v>334.11161586865001</v>
      </c>
      <c r="Q29" s="71">
        <f>-L29</f>
        <v>3949.2874329621263</v>
      </c>
      <c r="R29" s="85"/>
    </row>
    <row r="30" spans="1:18" x14ac:dyDescent="0.45">
      <c r="A30" s="3">
        <f t="shared" ref="A30:A40" si="3">3181.57*1.1</f>
        <v>3499.7270000000003</v>
      </c>
      <c r="B30" s="103">
        <f>A30/((1+$F$16)^($F$12-2))</f>
        <v>3174.7035452827422</v>
      </c>
      <c r="C30" s="19">
        <f>DATE(YEAR(C29),MONTH(C29)+1,DAY(C29))</f>
        <v>44362</v>
      </c>
      <c r="D30" s="26">
        <f t="shared" ref="D30:D64" si="4">D29+1</f>
        <v>2</v>
      </c>
      <c r="E30" s="34">
        <f t="shared" ref="E30:E64" si="5">H29</f>
        <v>139008.7322025052</v>
      </c>
      <c r="F30" s="107">
        <f t="shared" ref="F30:F64" si="6">-A30</f>
        <v>-3499.7270000000003</v>
      </c>
      <c r="G30" s="47">
        <f t="shared" ref="G30:G64" si="7">A30-B30</f>
        <v>325.02345471725812</v>
      </c>
      <c r="H30" s="60">
        <f t="shared" ref="H30:H64" si="8">SUM(E30:G30)</f>
        <v>135834.02865722243</v>
      </c>
      <c r="J30" s="74">
        <f t="shared" si="0"/>
        <v>2</v>
      </c>
      <c r="K30" s="48">
        <f t="shared" ref="K30:K64" si="9">M29</f>
        <v>138225.06015367442</v>
      </c>
      <c r="L30" s="43">
        <f t="shared" si="1"/>
        <v>-3949.2874329621263</v>
      </c>
      <c r="M30" s="75">
        <f t="shared" si="2"/>
        <v>134275.7727207123</v>
      </c>
      <c r="N30" s="32"/>
      <c r="O30" s="76">
        <f t="shared" ref="O30:P45" si="10">+O29+F30</f>
        <v>-6999.4540000000006</v>
      </c>
      <c r="P30" s="77">
        <f t="shared" si="10"/>
        <v>659.13507058590812</v>
      </c>
      <c r="Q30" s="75">
        <f t="shared" ref="Q30:Q64" si="11">+Q29-L30</f>
        <v>7898.5748659242527</v>
      </c>
      <c r="R30" s="86"/>
    </row>
    <row r="31" spans="1:18" x14ac:dyDescent="0.45">
      <c r="A31" s="3">
        <f t="shared" si="3"/>
        <v>3499.7270000000003</v>
      </c>
      <c r="B31" s="103">
        <f>A31/((1+$F$16)^($F$12-3))</f>
        <v>3183.8177976243423</v>
      </c>
      <c r="C31" s="19">
        <f t="shared" ref="C31:C94" si="12">DATE(YEAR(C30),MONTH(C30)+1,DAY(C30))</f>
        <v>44392</v>
      </c>
      <c r="D31" s="26">
        <f t="shared" si="4"/>
        <v>3</v>
      </c>
      <c r="E31" s="34">
        <f t="shared" si="5"/>
        <v>135834.02865722243</v>
      </c>
      <c r="F31" s="107">
        <f t="shared" si="6"/>
        <v>-3499.7270000000003</v>
      </c>
      <c r="G31" s="47">
        <f t="shared" si="7"/>
        <v>315.90920237565797</v>
      </c>
      <c r="H31" s="60">
        <f t="shared" si="8"/>
        <v>132650.21085959807</v>
      </c>
      <c r="J31" s="74">
        <f t="shared" si="0"/>
        <v>3</v>
      </c>
      <c r="K31" s="48">
        <f t="shared" si="9"/>
        <v>134275.7727207123</v>
      </c>
      <c r="L31" s="43">
        <f t="shared" si="1"/>
        <v>-3949.2874329621263</v>
      </c>
      <c r="M31" s="75">
        <f t="shared" si="2"/>
        <v>130326.48528775017</v>
      </c>
      <c r="N31" s="32"/>
      <c r="O31" s="76">
        <f t="shared" si="10"/>
        <v>-10499.181</v>
      </c>
      <c r="P31" s="39">
        <f t="shared" si="10"/>
        <v>975.04427296156609</v>
      </c>
      <c r="Q31" s="88">
        <f t="shared" si="11"/>
        <v>11847.862298886379</v>
      </c>
      <c r="R31" s="86"/>
    </row>
    <row r="32" spans="1:18" x14ac:dyDescent="0.45">
      <c r="A32" s="3">
        <f t="shared" si="3"/>
        <v>3499.7270000000003</v>
      </c>
      <c r="B32" s="103">
        <f>A32/((1+$F$16)^($F$12-4))</f>
        <v>3192.9582160613154</v>
      </c>
      <c r="C32" s="19">
        <f t="shared" si="12"/>
        <v>44423</v>
      </c>
      <c r="D32" s="26">
        <f t="shared" si="4"/>
        <v>4</v>
      </c>
      <c r="E32" s="34">
        <f t="shared" si="5"/>
        <v>132650.21085959807</v>
      </c>
      <c r="F32" s="107">
        <f t="shared" si="6"/>
        <v>-3499.7270000000003</v>
      </c>
      <c r="G32" s="47">
        <f t="shared" si="7"/>
        <v>306.76878393868492</v>
      </c>
      <c r="H32" s="60">
        <f t="shared" si="8"/>
        <v>129457.25264353675</v>
      </c>
      <c r="J32" s="74">
        <f t="shared" si="0"/>
        <v>4</v>
      </c>
      <c r="K32" s="48">
        <f t="shared" si="9"/>
        <v>130326.48528775017</v>
      </c>
      <c r="L32" s="43">
        <f t="shared" si="1"/>
        <v>-3949.2874329621263</v>
      </c>
      <c r="M32" s="75">
        <f t="shared" si="2"/>
        <v>126377.19785478804</v>
      </c>
      <c r="N32" s="32"/>
      <c r="O32" s="76">
        <f t="shared" si="10"/>
        <v>-13998.908000000001</v>
      </c>
      <c r="P32" s="39">
        <f t="shared" si="10"/>
        <v>1281.813056900251</v>
      </c>
      <c r="Q32" s="88">
        <f t="shared" si="11"/>
        <v>15797.149731848505</v>
      </c>
      <c r="R32" s="86"/>
    </row>
    <row r="33" spans="1:18" x14ac:dyDescent="0.45">
      <c r="A33" s="3">
        <f t="shared" si="3"/>
        <v>3499.7270000000003</v>
      </c>
      <c r="B33" s="103">
        <f>A33/((1+$F$16)^($F$12-5))</f>
        <v>3202.1248757138706</v>
      </c>
      <c r="C33" s="19">
        <f t="shared" si="12"/>
        <v>44454</v>
      </c>
      <c r="D33" s="26">
        <f t="shared" si="4"/>
        <v>5</v>
      </c>
      <c r="E33" s="34">
        <f t="shared" si="5"/>
        <v>129457.25264353675</v>
      </c>
      <c r="F33" s="107">
        <f t="shared" si="6"/>
        <v>-3499.7270000000003</v>
      </c>
      <c r="G33" s="47">
        <f t="shared" si="7"/>
        <v>297.60212428612977</v>
      </c>
      <c r="H33" s="60">
        <f t="shared" si="8"/>
        <v>126255.12776782288</v>
      </c>
      <c r="J33" s="74">
        <f t="shared" si="0"/>
        <v>5</v>
      </c>
      <c r="K33" s="48">
        <f t="shared" si="9"/>
        <v>126377.19785478804</v>
      </c>
      <c r="L33" s="43">
        <f t="shared" si="1"/>
        <v>-3949.2874329621263</v>
      </c>
      <c r="M33" s="75">
        <f t="shared" si="2"/>
        <v>122427.91042182592</v>
      </c>
      <c r="N33" s="32"/>
      <c r="O33" s="76">
        <f t="shared" si="10"/>
        <v>-17498.635000000002</v>
      </c>
      <c r="P33" s="39">
        <f t="shared" si="10"/>
        <v>1579.4151811863808</v>
      </c>
      <c r="Q33" s="88">
        <f t="shared" si="11"/>
        <v>19746.437164810632</v>
      </c>
      <c r="R33" s="86"/>
    </row>
    <row r="34" spans="1:18" x14ac:dyDescent="0.45">
      <c r="A34" s="3">
        <f t="shared" si="3"/>
        <v>3499.7270000000003</v>
      </c>
      <c r="B34" s="103">
        <f>A34/((1+$F$16)^($F$12-6))</f>
        <v>3211.3178519178814</v>
      </c>
      <c r="C34" s="19">
        <f t="shared" si="12"/>
        <v>44484</v>
      </c>
      <c r="D34" s="26">
        <f t="shared" si="4"/>
        <v>6</v>
      </c>
      <c r="E34" s="34">
        <f t="shared" si="5"/>
        <v>126255.12776782288</v>
      </c>
      <c r="F34" s="107">
        <f t="shared" si="6"/>
        <v>-3499.7270000000003</v>
      </c>
      <c r="G34" s="47">
        <f t="shared" si="7"/>
        <v>288.40914808211892</v>
      </c>
      <c r="H34" s="60">
        <f t="shared" si="8"/>
        <v>123043.809915905</v>
      </c>
      <c r="J34" s="74">
        <f t="shared" si="0"/>
        <v>6</v>
      </c>
      <c r="K34" s="48">
        <f t="shared" si="9"/>
        <v>122427.91042182592</v>
      </c>
      <c r="L34" s="43">
        <f t="shared" si="1"/>
        <v>-3949.2874329621263</v>
      </c>
      <c r="M34" s="75">
        <f t="shared" si="2"/>
        <v>118478.62298886379</v>
      </c>
      <c r="N34" s="32"/>
      <c r="O34" s="76">
        <f t="shared" si="10"/>
        <v>-20998.362000000001</v>
      </c>
      <c r="P34" s="39">
        <f t="shared" si="10"/>
        <v>1867.8243292684997</v>
      </c>
      <c r="Q34" s="88">
        <f t="shared" si="11"/>
        <v>23695.724597772758</v>
      </c>
      <c r="R34" s="86"/>
    </row>
    <row r="35" spans="1:18" x14ac:dyDescent="0.45">
      <c r="A35" s="3">
        <f t="shared" si="3"/>
        <v>3499.7270000000003</v>
      </c>
      <c r="B35" s="103">
        <f>A35/((1+$F$16)^($F$12-7))</f>
        <v>3220.5372202255007</v>
      </c>
      <c r="C35" s="19">
        <f t="shared" si="12"/>
        <v>44515</v>
      </c>
      <c r="D35" s="26">
        <f t="shared" si="4"/>
        <v>7</v>
      </c>
      <c r="E35" s="34">
        <f t="shared" si="5"/>
        <v>123043.809915905</v>
      </c>
      <c r="F35" s="107">
        <f t="shared" si="6"/>
        <v>-3499.7270000000003</v>
      </c>
      <c r="G35" s="47">
        <f t="shared" si="7"/>
        <v>279.18977977449958</v>
      </c>
      <c r="H35" s="60">
        <f t="shared" si="8"/>
        <v>119823.27269567951</v>
      </c>
      <c r="J35" s="74">
        <f t="shared" si="0"/>
        <v>7</v>
      </c>
      <c r="K35" s="48">
        <f t="shared" si="9"/>
        <v>118478.62298886379</v>
      </c>
      <c r="L35" s="43">
        <f t="shared" si="1"/>
        <v>-3949.2874329621263</v>
      </c>
      <c r="M35" s="75">
        <f t="shared" si="2"/>
        <v>114529.33555590166</v>
      </c>
      <c r="N35" s="32"/>
      <c r="O35" s="76">
        <f t="shared" si="10"/>
        <v>-24498.089</v>
      </c>
      <c r="P35" s="39">
        <f t="shared" si="10"/>
        <v>2147.0141090429993</v>
      </c>
      <c r="Q35" s="88">
        <f t="shared" si="11"/>
        <v>27645.012030734884</v>
      </c>
      <c r="R35" s="86"/>
    </row>
    <row r="36" spans="1:18" x14ac:dyDescent="0.45">
      <c r="A36" s="3">
        <f t="shared" si="3"/>
        <v>3499.7270000000003</v>
      </c>
      <c r="B36" s="103">
        <f>A36/((1+$F$16)^($F$12-8))</f>
        <v>3229.783056405784</v>
      </c>
      <c r="C36" s="19">
        <f t="shared" si="12"/>
        <v>44545</v>
      </c>
      <c r="D36" s="26">
        <f t="shared" si="4"/>
        <v>8</v>
      </c>
      <c r="E36" s="34">
        <f t="shared" si="5"/>
        <v>119823.27269567951</v>
      </c>
      <c r="F36" s="107">
        <f t="shared" si="6"/>
        <v>-3499.7270000000003</v>
      </c>
      <c r="G36" s="47">
        <f t="shared" si="7"/>
        <v>269.94394359421631</v>
      </c>
      <c r="H36" s="60">
        <f t="shared" si="8"/>
        <v>116593.48963927373</v>
      </c>
      <c r="J36" s="74">
        <f t="shared" si="0"/>
        <v>8</v>
      </c>
      <c r="K36" s="48">
        <f t="shared" si="9"/>
        <v>114529.33555590166</v>
      </c>
      <c r="L36" s="43">
        <f t="shared" si="1"/>
        <v>-3949.2874329621263</v>
      </c>
      <c r="M36" s="75">
        <f t="shared" si="2"/>
        <v>110580.04812293954</v>
      </c>
      <c r="N36" s="32"/>
      <c r="O36" s="76">
        <f t="shared" si="10"/>
        <v>-27997.815999999999</v>
      </c>
      <c r="P36" s="39">
        <f t="shared" si="10"/>
        <v>2416.9580526372156</v>
      </c>
      <c r="Q36" s="88">
        <f t="shared" si="11"/>
        <v>31594.299463697011</v>
      </c>
      <c r="R36" s="86"/>
    </row>
    <row r="37" spans="1:18" x14ac:dyDescent="0.45">
      <c r="A37" s="3">
        <f t="shared" si="3"/>
        <v>3499.7270000000003</v>
      </c>
      <c r="B37" s="103">
        <f>A37/((1+$F$16)^($F$12-9))</f>
        <v>3239.0554364453151</v>
      </c>
      <c r="C37" s="19">
        <f t="shared" si="12"/>
        <v>44576</v>
      </c>
      <c r="D37" s="26">
        <f t="shared" si="4"/>
        <v>9</v>
      </c>
      <c r="E37" s="34">
        <f t="shared" si="5"/>
        <v>116593.48963927373</v>
      </c>
      <c r="F37" s="107">
        <f t="shared" si="6"/>
        <v>-3499.7270000000003</v>
      </c>
      <c r="G37" s="47">
        <f t="shared" si="7"/>
        <v>260.67156355468524</v>
      </c>
      <c r="H37" s="60">
        <f t="shared" si="8"/>
        <v>113354.43420282842</v>
      </c>
      <c r="J37" s="74">
        <f t="shared" si="0"/>
        <v>9</v>
      </c>
      <c r="K37" s="48">
        <f t="shared" si="9"/>
        <v>110580.04812293954</v>
      </c>
      <c r="L37" s="43">
        <f t="shared" si="1"/>
        <v>-3949.2874329621263</v>
      </c>
      <c r="M37" s="75">
        <f t="shared" si="2"/>
        <v>106630.76068997741</v>
      </c>
      <c r="N37" s="32"/>
      <c r="O37" s="76">
        <f t="shared" si="10"/>
        <v>-31497.542999999998</v>
      </c>
      <c r="P37" s="39">
        <f t="shared" si="10"/>
        <v>2677.6296161919008</v>
      </c>
      <c r="Q37" s="88">
        <f t="shared" si="11"/>
        <v>35543.586896659137</v>
      </c>
      <c r="R37" s="86"/>
    </row>
    <row r="38" spans="1:18" x14ac:dyDescent="0.45">
      <c r="A38" s="3">
        <f t="shared" si="3"/>
        <v>3499.7270000000003</v>
      </c>
      <c r="B38" s="103">
        <f>A38/((1+$F$16)^($F$12-10))</f>
        <v>3248.3544365488242</v>
      </c>
      <c r="C38" s="19">
        <f t="shared" si="12"/>
        <v>44607</v>
      </c>
      <c r="D38" s="26">
        <f t="shared" si="4"/>
        <v>10</v>
      </c>
      <c r="E38" s="34">
        <f t="shared" si="5"/>
        <v>113354.43420282842</v>
      </c>
      <c r="F38" s="107">
        <f t="shared" si="6"/>
        <v>-3499.7270000000003</v>
      </c>
      <c r="G38" s="47">
        <f t="shared" si="7"/>
        <v>251.37256345117612</v>
      </c>
      <c r="H38" s="60">
        <f t="shared" si="8"/>
        <v>110106.0797662796</v>
      </c>
      <c r="J38" s="74">
        <f t="shared" si="0"/>
        <v>10</v>
      </c>
      <c r="K38" s="48">
        <f t="shared" si="9"/>
        <v>106630.76068997741</v>
      </c>
      <c r="L38" s="43">
        <f t="shared" si="1"/>
        <v>-3949.2874329621263</v>
      </c>
      <c r="M38" s="75">
        <f t="shared" si="2"/>
        <v>102681.47325701528</v>
      </c>
      <c r="N38" s="32"/>
      <c r="O38" s="76">
        <f t="shared" si="10"/>
        <v>-34997.269999999997</v>
      </c>
      <c r="P38" s="39">
        <f t="shared" si="10"/>
        <v>2929.0021796430769</v>
      </c>
      <c r="Q38" s="88">
        <f t="shared" si="11"/>
        <v>39492.874329621263</v>
      </c>
      <c r="R38" s="87"/>
    </row>
    <row r="39" spans="1:18" x14ac:dyDescent="0.45">
      <c r="A39" s="3">
        <f t="shared" si="3"/>
        <v>3499.7270000000003</v>
      </c>
      <c r="B39" s="103">
        <f>A39/((1+$F$16)^($F$12-11))</f>
        <v>3257.6801331398187</v>
      </c>
      <c r="C39" s="19">
        <f t="shared" si="12"/>
        <v>44635</v>
      </c>
      <c r="D39" s="26">
        <f t="shared" si="4"/>
        <v>11</v>
      </c>
      <c r="E39" s="34">
        <f t="shared" si="5"/>
        <v>110106.0797662796</v>
      </c>
      <c r="F39" s="107">
        <f t="shared" si="6"/>
        <v>-3499.7270000000003</v>
      </c>
      <c r="G39" s="47">
        <f t="shared" si="7"/>
        <v>242.04686686018158</v>
      </c>
      <c r="H39" s="60">
        <f t="shared" si="8"/>
        <v>106848.39963313978</v>
      </c>
      <c r="J39" s="74">
        <f t="shared" si="0"/>
        <v>11</v>
      </c>
      <c r="K39" s="48">
        <f t="shared" si="9"/>
        <v>102681.47325701528</v>
      </c>
      <c r="L39" s="43">
        <f t="shared" si="1"/>
        <v>-3949.2874329621263</v>
      </c>
      <c r="M39" s="75">
        <f t="shared" si="2"/>
        <v>98732.185824053158</v>
      </c>
      <c r="N39" s="32"/>
      <c r="O39" s="76">
        <f t="shared" si="10"/>
        <v>-38496.996999999996</v>
      </c>
      <c r="P39" s="39">
        <f t="shared" si="10"/>
        <v>3171.0490465032585</v>
      </c>
      <c r="Q39" s="88">
        <f t="shared" si="11"/>
        <v>43442.16176258339</v>
      </c>
      <c r="R39" s="87"/>
    </row>
    <row r="40" spans="1:18" x14ac:dyDescent="0.45">
      <c r="A40" s="3">
        <f t="shared" si="3"/>
        <v>3499.7270000000003</v>
      </c>
      <c r="B40" s="103">
        <f>A40/((1+$F$16)^($F$12-12))</f>
        <v>3267.0326028612117</v>
      </c>
      <c r="C40" s="19">
        <f t="shared" si="12"/>
        <v>44666</v>
      </c>
      <c r="D40" s="26">
        <f t="shared" si="4"/>
        <v>12</v>
      </c>
      <c r="E40" s="34">
        <f t="shared" si="5"/>
        <v>106848.39963313978</v>
      </c>
      <c r="F40" s="107">
        <f t="shared" si="6"/>
        <v>-3499.7270000000003</v>
      </c>
      <c r="G40" s="47">
        <f t="shared" si="7"/>
        <v>232.69439713878864</v>
      </c>
      <c r="H40" s="60">
        <f t="shared" si="8"/>
        <v>103581.36703027858</v>
      </c>
      <c r="J40" s="74">
        <f t="shared" si="0"/>
        <v>12</v>
      </c>
      <c r="K40" s="48">
        <f t="shared" si="9"/>
        <v>98732.185824053158</v>
      </c>
      <c r="L40" s="43">
        <f t="shared" si="1"/>
        <v>-3949.2874329621263</v>
      </c>
      <c r="M40" s="75">
        <f t="shared" si="2"/>
        <v>94782.898391091032</v>
      </c>
      <c r="N40" s="32"/>
      <c r="O40" s="76">
        <f t="shared" si="10"/>
        <v>-41996.723999999995</v>
      </c>
      <c r="P40" s="39">
        <f t="shared" si="10"/>
        <v>3403.7434436420472</v>
      </c>
      <c r="Q40" s="88">
        <f t="shared" si="11"/>
        <v>47391.449195545516</v>
      </c>
      <c r="R40" s="87"/>
    </row>
    <row r="41" spans="1:18" x14ac:dyDescent="0.45">
      <c r="A41" s="3">
        <f>3181.57*1.3</f>
        <v>4136.0410000000002</v>
      </c>
      <c r="B41" s="103">
        <f>A41/((1+$F$16)^($F$12-13))</f>
        <v>3872.1231812261185</v>
      </c>
      <c r="C41" s="19">
        <f t="shared" si="12"/>
        <v>44696</v>
      </c>
      <c r="D41" s="26">
        <f t="shared" si="4"/>
        <v>13</v>
      </c>
      <c r="E41" s="34">
        <f t="shared" si="5"/>
        <v>103581.36703027858</v>
      </c>
      <c r="F41" s="107">
        <f t="shared" si="6"/>
        <v>-4136.0410000000002</v>
      </c>
      <c r="G41" s="47">
        <f t="shared" si="7"/>
        <v>263.91781877388166</v>
      </c>
      <c r="H41" s="60">
        <f t="shared" si="8"/>
        <v>99709.243849052466</v>
      </c>
      <c r="J41" s="74">
        <f t="shared" si="0"/>
        <v>13</v>
      </c>
      <c r="K41" s="48">
        <f t="shared" si="9"/>
        <v>94782.898391091032</v>
      </c>
      <c r="L41" s="43">
        <f t="shared" ref="L41:L64" si="13">-$M$22/$F$12</f>
        <v>-3949.2874329621263</v>
      </c>
      <c r="M41" s="75">
        <f t="shared" si="2"/>
        <v>90833.610958128906</v>
      </c>
      <c r="N41" s="32"/>
      <c r="O41" s="76">
        <f t="shared" si="10"/>
        <v>-46132.764999999992</v>
      </c>
      <c r="P41" s="39">
        <f t="shared" si="10"/>
        <v>3667.6612624159288</v>
      </c>
      <c r="Q41" s="88">
        <f t="shared" si="11"/>
        <v>51340.736628507642</v>
      </c>
      <c r="R41" s="87"/>
    </row>
    <row r="42" spans="1:18" x14ac:dyDescent="0.45">
      <c r="A42" s="3">
        <f t="shared" ref="A42:A52" si="14">3181.57*1.3</f>
        <v>4136.0410000000002</v>
      </c>
      <c r="B42" s="103">
        <f>A42/((1+$F$16)^($F$12-14))</f>
        <v>3883.239654707208</v>
      </c>
      <c r="C42" s="19">
        <f t="shared" si="12"/>
        <v>44727</v>
      </c>
      <c r="D42" s="26">
        <f t="shared" si="4"/>
        <v>14</v>
      </c>
      <c r="E42" s="34">
        <f t="shared" si="5"/>
        <v>99709.243849052466</v>
      </c>
      <c r="F42" s="107">
        <f t="shared" si="6"/>
        <v>-4136.0410000000002</v>
      </c>
      <c r="G42" s="47">
        <f t="shared" si="7"/>
        <v>252.80134529279212</v>
      </c>
      <c r="H42" s="60">
        <f t="shared" si="8"/>
        <v>95826.004194345267</v>
      </c>
      <c r="J42" s="74">
        <f t="shared" si="0"/>
        <v>14</v>
      </c>
      <c r="K42" s="48">
        <f t="shared" si="9"/>
        <v>90833.610958128906</v>
      </c>
      <c r="L42" s="43">
        <f t="shared" si="13"/>
        <v>-3949.2874329621263</v>
      </c>
      <c r="M42" s="75">
        <f t="shared" si="2"/>
        <v>86884.323525166779</v>
      </c>
      <c r="N42" s="32"/>
      <c r="O42" s="76">
        <f t="shared" si="10"/>
        <v>-50268.80599999999</v>
      </c>
      <c r="P42" s="39">
        <f t="shared" si="10"/>
        <v>3920.462607708721</v>
      </c>
      <c r="Q42" s="88">
        <f t="shared" si="11"/>
        <v>55290.024061469769</v>
      </c>
      <c r="R42" s="87"/>
    </row>
    <row r="43" spans="1:18" x14ac:dyDescent="0.45">
      <c r="A43" s="3">
        <f t="shared" si="14"/>
        <v>4136.0410000000002</v>
      </c>
      <c r="B43" s="103">
        <f>A43/((1+$F$16)^($F$12-15))</f>
        <v>3894.3880424577746</v>
      </c>
      <c r="C43" s="19">
        <f t="shared" si="12"/>
        <v>44757</v>
      </c>
      <c r="D43" s="26">
        <f t="shared" si="4"/>
        <v>15</v>
      </c>
      <c r="E43" s="34">
        <f t="shared" si="5"/>
        <v>95826.004194345267</v>
      </c>
      <c r="F43" s="107">
        <f t="shared" si="6"/>
        <v>-4136.0410000000002</v>
      </c>
      <c r="G43" s="47">
        <f t="shared" si="7"/>
        <v>241.65295754222552</v>
      </c>
      <c r="H43" s="60">
        <f t="shared" si="8"/>
        <v>91931.616151887501</v>
      </c>
      <c r="J43" s="74">
        <f t="shared" si="0"/>
        <v>15</v>
      </c>
      <c r="K43" s="48">
        <f t="shared" si="9"/>
        <v>86884.323525166779</v>
      </c>
      <c r="L43" s="43">
        <f t="shared" si="13"/>
        <v>-3949.2874329621263</v>
      </c>
      <c r="M43" s="75">
        <f t="shared" si="2"/>
        <v>82935.036092204653</v>
      </c>
      <c r="N43" s="32"/>
      <c r="O43" s="76">
        <f t="shared" si="10"/>
        <v>-54404.846999999987</v>
      </c>
      <c r="P43" s="39">
        <f t="shared" si="10"/>
        <v>4162.115565250946</v>
      </c>
      <c r="Q43" s="88">
        <f t="shared" si="11"/>
        <v>59239.311494431895</v>
      </c>
      <c r="R43" s="87"/>
    </row>
    <row r="44" spans="1:18" x14ac:dyDescent="0.45">
      <c r="A44" s="3">
        <f t="shared" si="14"/>
        <v>4136.0410000000002</v>
      </c>
      <c r="B44" s="103">
        <f>A44/((1+$F$16)^($F$12-16))</f>
        <v>3905.5684361004537</v>
      </c>
      <c r="C44" s="19">
        <f t="shared" si="12"/>
        <v>44788</v>
      </c>
      <c r="D44" s="26">
        <f t="shared" si="4"/>
        <v>16</v>
      </c>
      <c r="E44" s="34">
        <f t="shared" si="5"/>
        <v>91931.616151887501</v>
      </c>
      <c r="F44" s="107">
        <f t="shared" si="6"/>
        <v>-4136.0410000000002</v>
      </c>
      <c r="G44" s="47">
        <f t="shared" si="7"/>
        <v>230.47256389954646</v>
      </c>
      <c r="H44" s="60">
        <f t="shared" si="8"/>
        <v>88026.047715787048</v>
      </c>
      <c r="J44" s="74">
        <f t="shared" si="0"/>
        <v>16</v>
      </c>
      <c r="K44" s="48">
        <f t="shared" si="9"/>
        <v>82935.036092204653</v>
      </c>
      <c r="L44" s="43">
        <f t="shared" si="13"/>
        <v>-3949.2874329621263</v>
      </c>
      <c r="M44" s="75">
        <f t="shared" si="2"/>
        <v>78985.748659242527</v>
      </c>
      <c r="N44" s="32"/>
      <c r="O44" s="76">
        <f t="shared" si="10"/>
        <v>-58540.887999999984</v>
      </c>
      <c r="P44" s="39">
        <f t="shared" si="10"/>
        <v>4392.588129150492</v>
      </c>
      <c r="Q44" s="88">
        <f t="shared" si="11"/>
        <v>63188.598927394021</v>
      </c>
      <c r="R44" s="87"/>
    </row>
    <row r="45" spans="1:18" x14ac:dyDescent="0.45">
      <c r="A45" s="3">
        <f t="shared" si="14"/>
        <v>4136.0410000000002</v>
      </c>
      <c r="B45" s="103">
        <f>A45/((1+$F$16)^($F$12-17))</f>
        <v>3916.7809275209206</v>
      </c>
      <c r="C45" s="19">
        <f t="shared" si="12"/>
        <v>44819</v>
      </c>
      <c r="D45" s="26">
        <f t="shared" si="4"/>
        <v>17</v>
      </c>
      <c r="E45" s="34">
        <f t="shared" si="5"/>
        <v>88026.047715787048</v>
      </c>
      <c r="F45" s="107">
        <f t="shared" si="6"/>
        <v>-4136.0410000000002</v>
      </c>
      <c r="G45" s="47">
        <f t="shared" si="7"/>
        <v>219.26007247907955</v>
      </c>
      <c r="H45" s="60">
        <f t="shared" si="8"/>
        <v>84109.266788266134</v>
      </c>
      <c r="J45" s="74">
        <f t="shared" si="0"/>
        <v>17</v>
      </c>
      <c r="K45" s="48">
        <f t="shared" si="9"/>
        <v>78985.748659242527</v>
      </c>
      <c r="L45" s="43">
        <f t="shared" si="13"/>
        <v>-3949.2874329621263</v>
      </c>
      <c r="M45" s="75">
        <f t="shared" si="2"/>
        <v>75036.4612262804</v>
      </c>
      <c r="N45" s="32"/>
      <c r="O45" s="76">
        <f t="shared" si="10"/>
        <v>-62676.928999999982</v>
      </c>
      <c r="P45" s="39">
        <f t="shared" si="10"/>
        <v>4611.8482016295711</v>
      </c>
      <c r="Q45" s="88">
        <f t="shared" si="11"/>
        <v>67137.886360356148</v>
      </c>
      <c r="R45" s="87"/>
    </row>
    <row r="46" spans="1:18" x14ac:dyDescent="0.45">
      <c r="A46" s="3">
        <f t="shared" si="14"/>
        <v>4136.0410000000002</v>
      </c>
      <c r="B46" s="103">
        <f>A46/((1+$F$16)^($F$12-18))</f>
        <v>3928.0256088686447</v>
      </c>
      <c r="C46" s="19">
        <f t="shared" si="12"/>
        <v>44849</v>
      </c>
      <c r="D46" s="26">
        <f t="shared" si="4"/>
        <v>18</v>
      </c>
      <c r="E46" s="34">
        <f t="shared" si="5"/>
        <v>84109.266788266134</v>
      </c>
      <c r="F46" s="107">
        <f t="shared" si="6"/>
        <v>-4136.0410000000002</v>
      </c>
      <c r="G46" s="47">
        <f t="shared" si="7"/>
        <v>208.0153911313555</v>
      </c>
      <c r="H46" s="60">
        <f t="shared" si="8"/>
        <v>80181.24117939749</v>
      </c>
      <c r="J46" s="74">
        <f t="shared" si="0"/>
        <v>18</v>
      </c>
      <c r="K46" s="48">
        <f t="shared" si="9"/>
        <v>75036.4612262804</v>
      </c>
      <c r="L46" s="43">
        <f t="shared" si="13"/>
        <v>-3949.2874329621263</v>
      </c>
      <c r="M46" s="75">
        <f t="shared" si="2"/>
        <v>71087.173793318274</v>
      </c>
      <c r="N46" s="32"/>
      <c r="O46" s="76">
        <f t="shared" ref="O46:P61" si="15">+O45+F46</f>
        <v>-66812.969999999987</v>
      </c>
      <c r="P46" s="39">
        <f t="shared" si="15"/>
        <v>4819.8635927609266</v>
      </c>
      <c r="Q46" s="88">
        <f t="shared" si="11"/>
        <v>71087.173793318274</v>
      </c>
      <c r="R46" s="87"/>
    </row>
    <row r="47" spans="1:18" x14ac:dyDescent="0.45">
      <c r="A47" s="3">
        <f t="shared" si="14"/>
        <v>4136.0410000000002</v>
      </c>
      <c r="B47" s="103">
        <f>A47/((1+$F$16)^($F$12-19))</f>
        <v>3939.3025725576449</v>
      </c>
      <c r="C47" s="19">
        <f t="shared" si="12"/>
        <v>44880</v>
      </c>
      <c r="D47" s="26">
        <f t="shared" si="4"/>
        <v>19</v>
      </c>
      <c r="E47" s="34">
        <f t="shared" si="5"/>
        <v>80181.24117939749</v>
      </c>
      <c r="F47" s="107">
        <f t="shared" si="6"/>
        <v>-4136.0410000000002</v>
      </c>
      <c r="G47" s="47">
        <f t="shared" si="7"/>
        <v>196.73842744235526</v>
      </c>
      <c r="H47" s="60">
        <f t="shared" si="8"/>
        <v>76241.938606839845</v>
      </c>
      <c r="J47" s="74">
        <f t="shared" si="0"/>
        <v>19</v>
      </c>
      <c r="K47" s="48">
        <f t="shared" si="9"/>
        <v>71087.173793318274</v>
      </c>
      <c r="L47" s="43">
        <f t="shared" si="13"/>
        <v>-3949.2874329621263</v>
      </c>
      <c r="M47" s="75">
        <f t="shared" si="2"/>
        <v>67137.886360356148</v>
      </c>
      <c r="N47" s="32"/>
      <c r="O47" s="76">
        <f t="shared" si="15"/>
        <v>-70949.010999999984</v>
      </c>
      <c r="P47" s="39">
        <f t="shared" si="15"/>
        <v>5016.6020202032814</v>
      </c>
      <c r="Q47" s="88">
        <f t="shared" si="11"/>
        <v>75036.4612262804</v>
      </c>
      <c r="R47" s="87"/>
    </row>
    <row r="48" spans="1:18" x14ac:dyDescent="0.45">
      <c r="A48" s="3">
        <f t="shared" si="14"/>
        <v>4136.0410000000002</v>
      </c>
      <c r="B48" s="103">
        <f>A48/((1+$F$16)^($F$12-20))</f>
        <v>3950.6119112672563</v>
      </c>
      <c r="C48" s="19">
        <f t="shared" si="12"/>
        <v>44910</v>
      </c>
      <c r="D48" s="26">
        <f t="shared" si="4"/>
        <v>20</v>
      </c>
      <c r="E48" s="34">
        <f t="shared" si="5"/>
        <v>76241.938606839845</v>
      </c>
      <c r="F48" s="107">
        <f t="shared" si="6"/>
        <v>-4136.0410000000002</v>
      </c>
      <c r="G48" s="47">
        <f t="shared" si="7"/>
        <v>185.42908873274382</v>
      </c>
      <c r="H48" s="60">
        <f t="shared" si="8"/>
        <v>72291.326695572585</v>
      </c>
      <c r="J48" s="74">
        <f t="shared" si="0"/>
        <v>20</v>
      </c>
      <c r="K48" s="48">
        <f t="shared" si="9"/>
        <v>67137.886360356148</v>
      </c>
      <c r="L48" s="43">
        <f t="shared" si="13"/>
        <v>-3949.2874329621263</v>
      </c>
      <c r="M48" s="75">
        <f t="shared" si="2"/>
        <v>63188.598927394021</v>
      </c>
      <c r="N48" s="32"/>
      <c r="O48" s="76">
        <f t="shared" si="15"/>
        <v>-75085.051999999981</v>
      </c>
      <c r="P48" s="39">
        <f t="shared" si="15"/>
        <v>5202.0311089360257</v>
      </c>
      <c r="Q48" s="88">
        <f t="shared" si="11"/>
        <v>78985.748659242527</v>
      </c>
      <c r="R48" s="87"/>
    </row>
    <row r="49" spans="1:18" x14ac:dyDescent="0.45">
      <c r="A49" s="3">
        <f t="shared" si="14"/>
        <v>4136.0410000000002</v>
      </c>
      <c r="B49" s="103">
        <f>A49/((1+$F$16)^($F$12-21))</f>
        <v>3961.9537179428817</v>
      </c>
      <c r="C49" s="19">
        <f t="shared" si="12"/>
        <v>44941</v>
      </c>
      <c r="D49" s="26">
        <f t="shared" si="4"/>
        <v>21</v>
      </c>
      <c r="E49" s="34">
        <f t="shared" si="5"/>
        <v>72291.326695572585</v>
      </c>
      <c r="F49" s="107">
        <f t="shared" si="6"/>
        <v>-4136.0410000000002</v>
      </c>
      <c r="G49" s="47">
        <f t="shared" si="7"/>
        <v>174.0872820571185</v>
      </c>
      <c r="H49" s="60">
        <f t="shared" si="8"/>
        <v>68329.372977629711</v>
      </c>
      <c r="J49" s="74">
        <f t="shared" si="0"/>
        <v>21</v>
      </c>
      <c r="K49" s="48">
        <f t="shared" si="9"/>
        <v>63188.598927394021</v>
      </c>
      <c r="L49" s="43">
        <f t="shared" si="13"/>
        <v>-3949.2874329621263</v>
      </c>
      <c r="M49" s="75">
        <f t="shared" si="2"/>
        <v>59239.311494431895</v>
      </c>
      <c r="N49" s="80"/>
      <c r="O49" s="76">
        <f t="shared" si="15"/>
        <v>-79221.092999999979</v>
      </c>
      <c r="P49" s="39">
        <f t="shared" si="15"/>
        <v>5376.1183909931442</v>
      </c>
      <c r="Q49" s="88">
        <f t="shared" si="11"/>
        <v>82935.036092204653</v>
      </c>
      <c r="R49" s="87"/>
    </row>
    <row r="50" spans="1:18" x14ac:dyDescent="0.45">
      <c r="A50" s="3">
        <f t="shared" si="14"/>
        <v>4136.0410000000002</v>
      </c>
      <c r="B50" s="103">
        <f>A50/((1+$F$16)^($F$12-22))</f>
        <v>3973.3280857967652</v>
      </c>
      <c r="C50" s="19">
        <f t="shared" si="12"/>
        <v>44972</v>
      </c>
      <c r="D50" s="26">
        <f t="shared" si="4"/>
        <v>22</v>
      </c>
      <c r="E50" s="34">
        <f t="shared" si="5"/>
        <v>68329.372977629711</v>
      </c>
      <c r="F50" s="107">
        <f t="shared" si="6"/>
        <v>-4136.0410000000002</v>
      </c>
      <c r="G50" s="47">
        <f t="shared" si="7"/>
        <v>162.71291420323496</v>
      </c>
      <c r="H50" s="60">
        <f t="shared" si="8"/>
        <v>64356.044891832949</v>
      </c>
      <c r="J50" s="74">
        <f t="shared" si="0"/>
        <v>22</v>
      </c>
      <c r="K50" s="48">
        <f t="shared" si="9"/>
        <v>59239.311494431895</v>
      </c>
      <c r="L50" s="43">
        <f t="shared" si="13"/>
        <v>-3949.2874329621263</v>
      </c>
      <c r="M50" s="75">
        <f t="shared" si="2"/>
        <v>55290.024061469769</v>
      </c>
      <c r="N50" s="32"/>
      <c r="O50" s="76">
        <f t="shared" si="15"/>
        <v>-83357.133999999976</v>
      </c>
      <c r="P50" s="39">
        <f t="shared" si="15"/>
        <v>5538.8313051963796</v>
      </c>
      <c r="Q50" s="88">
        <f t="shared" si="11"/>
        <v>86884.323525166779</v>
      </c>
      <c r="R50" s="32"/>
    </row>
    <row r="51" spans="1:18" x14ac:dyDescent="0.45">
      <c r="A51" s="3">
        <f t="shared" si="14"/>
        <v>4136.0410000000002</v>
      </c>
      <c r="B51" s="103">
        <f>A51/((1+$F$16)^($F$12-23))</f>
        <v>3984.735108308751</v>
      </c>
      <c r="C51" s="19">
        <f t="shared" si="12"/>
        <v>45000</v>
      </c>
      <c r="D51" s="26">
        <f t="shared" si="4"/>
        <v>23</v>
      </c>
      <c r="E51" s="34">
        <f t="shared" si="5"/>
        <v>64356.044891832949</v>
      </c>
      <c r="F51" s="107">
        <f t="shared" si="6"/>
        <v>-4136.0410000000002</v>
      </c>
      <c r="G51" s="47">
        <f t="shared" si="7"/>
        <v>151.30589169124914</v>
      </c>
      <c r="H51" s="60">
        <f t="shared" si="8"/>
        <v>60371.309783524201</v>
      </c>
      <c r="J51" s="74">
        <f t="shared" si="0"/>
        <v>23</v>
      </c>
      <c r="K51" s="48">
        <f t="shared" si="9"/>
        <v>55290.024061469769</v>
      </c>
      <c r="L51" s="43">
        <f t="shared" si="13"/>
        <v>-3949.2874329621263</v>
      </c>
      <c r="M51" s="75">
        <f t="shared" si="2"/>
        <v>51340.736628507642</v>
      </c>
      <c r="N51" s="32"/>
      <c r="O51" s="76">
        <f t="shared" si="15"/>
        <v>-87493.174999999974</v>
      </c>
      <c r="P51" s="39">
        <f t="shared" si="15"/>
        <v>5690.1371968876283</v>
      </c>
      <c r="Q51" s="88">
        <f t="shared" si="11"/>
        <v>90833.610958128906</v>
      </c>
      <c r="R51" s="32"/>
    </row>
    <row r="52" spans="1:18" x14ac:dyDescent="0.45">
      <c r="A52" s="3">
        <f t="shared" si="14"/>
        <v>4136.0410000000002</v>
      </c>
      <c r="B52" s="103">
        <f>A52/((1+$F$16)^($F$12-24))</f>
        <v>3996.1748792270537</v>
      </c>
      <c r="C52" s="19">
        <f t="shared" si="12"/>
        <v>45031</v>
      </c>
      <c r="D52" s="26">
        <f t="shared" si="4"/>
        <v>24</v>
      </c>
      <c r="E52" s="34">
        <f t="shared" si="5"/>
        <v>60371.309783524201</v>
      </c>
      <c r="F52" s="107">
        <f t="shared" si="6"/>
        <v>-4136.0410000000002</v>
      </c>
      <c r="G52" s="47">
        <f t="shared" si="7"/>
        <v>139.86612077294649</v>
      </c>
      <c r="H52" s="60">
        <f t="shared" si="8"/>
        <v>56375.134904297149</v>
      </c>
      <c r="J52" s="74">
        <f t="shared" si="0"/>
        <v>24</v>
      </c>
      <c r="K52" s="48">
        <f t="shared" si="9"/>
        <v>51340.736628507642</v>
      </c>
      <c r="L52" s="43">
        <f t="shared" si="13"/>
        <v>-3949.2874329621263</v>
      </c>
      <c r="M52" s="75">
        <f t="shared" si="2"/>
        <v>47391.449195545516</v>
      </c>
      <c r="N52" s="32"/>
      <c r="O52" s="76">
        <f t="shared" si="15"/>
        <v>-91629.215999999971</v>
      </c>
      <c r="P52" s="39">
        <f t="shared" si="15"/>
        <v>5830.0033176605748</v>
      </c>
      <c r="Q52" s="88">
        <f t="shared" si="11"/>
        <v>94782.898391091032</v>
      </c>
      <c r="R52" s="32"/>
    </row>
    <row r="53" spans="1:18" x14ac:dyDescent="0.45">
      <c r="A53" s="3">
        <f>3181.57*1.5</f>
        <v>4772.3550000000005</v>
      </c>
      <c r="B53" s="103">
        <f>A53/((1+$F$16)^($F$12-25))</f>
        <v>4624.2086452719614</v>
      </c>
      <c r="C53" s="19">
        <f t="shared" si="12"/>
        <v>45061</v>
      </c>
      <c r="D53" s="26">
        <f t="shared" si="4"/>
        <v>25</v>
      </c>
      <c r="E53" s="34">
        <f t="shared" si="5"/>
        <v>56375.134904297149</v>
      </c>
      <c r="F53" s="107">
        <f t="shared" si="6"/>
        <v>-4772.3550000000005</v>
      </c>
      <c r="G53" s="47">
        <f t="shared" si="7"/>
        <v>148.14635472803911</v>
      </c>
      <c r="H53" s="60">
        <f t="shared" si="8"/>
        <v>51750.926259025182</v>
      </c>
      <c r="J53" s="74">
        <f t="shared" si="0"/>
        <v>25</v>
      </c>
      <c r="K53" s="48">
        <f t="shared" si="9"/>
        <v>47391.449195545516</v>
      </c>
      <c r="L53" s="43">
        <f t="shared" si="13"/>
        <v>-3949.2874329621263</v>
      </c>
      <c r="M53" s="75">
        <f t="shared" si="2"/>
        <v>43442.16176258339</v>
      </c>
      <c r="N53" s="32"/>
      <c r="O53" s="76">
        <f t="shared" si="15"/>
        <v>-96401.570999999967</v>
      </c>
      <c r="P53" s="39">
        <f t="shared" si="15"/>
        <v>5978.1496723886139</v>
      </c>
      <c r="Q53" s="88">
        <f t="shared" si="11"/>
        <v>98732.185824053158</v>
      </c>
      <c r="R53" s="32"/>
    </row>
    <row r="54" spans="1:18" x14ac:dyDescent="0.45">
      <c r="A54" s="3">
        <f t="shared" ref="A54:A64" si="16">3181.57*1.5</f>
        <v>4772.3550000000005</v>
      </c>
      <c r="B54" s="103">
        <f>A54/((1+$F$16)^($F$12-26))</f>
        <v>4637.4842799484159</v>
      </c>
      <c r="C54" s="19">
        <f t="shared" si="12"/>
        <v>45092</v>
      </c>
      <c r="D54" s="26">
        <f t="shared" si="4"/>
        <v>26</v>
      </c>
      <c r="E54" s="34">
        <f t="shared" si="5"/>
        <v>51750.926259025182</v>
      </c>
      <c r="F54" s="107">
        <f t="shared" si="6"/>
        <v>-4772.3550000000005</v>
      </c>
      <c r="G54" s="47">
        <f t="shared" si="7"/>
        <v>134.87072005158461</v>
      </c>
      <c r="H54" s="60">
        <f t="shared" si="8"/>
        <v>47113.441979076764</v>
      </c>
      <c r="J54" s="74">
        <f t="shared" si="0"/>
        <v>26</v>
      </c>
      <c r="K54" s="48">
        <f t="shared" si="9"/>
        <v>43442.16176258339</v>
      </c>
      <c r="L54" s="43">
        <f t="shared" si="13"/>
        <v>-3949.2874329621263</v>
      </c>
      <c r="M54" s="75">
        <f t="shared" si="2"/>
        <v>39492.874329621263</v>
      </c>
      <c r="N54" s="32"/>
      <c r="O54" s="76">
        <f t="shared" si="15"/>
        <v>-101173.92599999996</v>
      </c>
      <c r="P54" s="39">
        <f t="shared" si="15"/>
        <v>6113.0203924401985</v>
      </c>
      <c r="Q54" s="88">
        <f t="shared" si="11"/>
        <v>102681.47325701528</v>
      </c>
      <c r="R54" s="32"/>
    </row>
    <row r="55" spans="1:18" x14ac:dyDescent="0.45">
      <c r="A55" s="3">
        <f t="shared" si="16"/>
        <v>4772.3550000000005</v>
      </c>
      <c r="B55" s="103">
        <f>A55/((1+$F$16)^($F$12-27))</f>
        <v>4650.7980276274566</v>
      </c>
      <c r="C55" s="19">
        <f t="shared" si="12"/>
        <v>45122</v>
      </c>
      <c r="D55" s="26">
        <f t="shared" si="4"/>
        <v>27</v>
      </c>
      <c r="E55" s="34">
        <f t="shared" si="5"/>
        <v>47113.441979076764</v>
      </c>
      <c r="F55" s="107">
        <f t="shared" si="6"/>
        <v>-4772.3550000000005</v>
      </c>
      <c r="G55" s="47">
        <f t="shared" si="7"/>
        <v>121.5569723725439</v>
      </c>
      <c r="H55" s="60">
        <f t="shared" si="8"/>
        <v>42462.643951449303</v>
      </c>
      <c r="J55" s="74">
        <f t="shared" si="0"/>
        <v>27</v>
      </c>
      <c r="K55" s="48">
        <f t="shared" si="9"/>
        <v>39492.874329621263</v>
      </c>
      <c r="L55" s="43">
        <f t="shared" si="13"/>
        <v>-3949.2874329621263</v>
      </c>
      <c r="M55" s="75">
        <f t="shared" si="2"/>
        <v>35543.586896659137</v>
      </c>
      <c r="N55" s="32"/>
      <c r="O55" s="76">
        <f t="shared" si="15"/>
        <v>-105946.28099999996</v>
      </c>
      <c r="P55" s="39">
        <f t="shared" si="15"/>
        <v>6234.5773648127424</v>
      </c>
      <c r="Q55" s="88">
        <f t="shared" si="11"/>
        <v>106630.76068997741</v>
      </c>
      <c r="R55" s="32"/>
    </row>
    <row r="56" spans="1:18" x14ac:dyDescent="0.45">
      <c r="A56" s="3">
        <f t="shared" si="16"/>
        <v>4772.3550000000005</v>
      </c>
      <c r="B56" s="103">
        <f>A56/((1+$F$16)^($F$12-28))</f>
        <v>4664.1499977276571</v>
      </c>
      <c r="C56" s="19">
        <f t="shared" si="12"/>
        <v>45153</v>
      </c>
      <c r="D56" s="26">
        <f t="shared" si="4"/>
        <v>28</v>
      </c>
      <c r="E56" s="34">
        <f t="shared" si="5"/>
        <v>42462.643951449303</v>
      </c>
      <c r="F56" s="107">
        <f t="shared" si="6"/>
        <v>-4772.3550000000005</v>
      </c>
      <c r="G56" s="47">
        <f t="shared" si="7"/>
        <v>108.20500227234334</v>
      </c>
      <c r="H56" s="60">
        <f t="shared" si="8"/>
        <v>37798.493953721641</v>
      </c>
      <c r="J56" s="74">
        <f t="shared" si="0"/>
        <v>28</v>
      </c>
      <c r="K56" s="48">
        <f t="shared" si="9"/>
        <v>35543.586896659137</v>
      </c>
      <c r="L56" s="43">
        <f t="shared" si="13"/>
        <v>-3949.2874329621263</v>
      </c>
      <c r="M56" s="75">
        <f t="shared" si="2"/>
        <v>31594.299463697011</v>
      </c>
      <c r="N56" s="32"/>
      <c r="O56" s="76">
        <f t="shared" si="15"/>
        <v>-110718.63599999995</v>
      </c>
      <c r="P56" s="39">
        <f t="shared" si="15"/>
        <v>6342.7823670850858</v>
      </c>
      <c r="Q56" s="88">
        <f t="shared" si="11"/>
        <v>110580.04812293954</v>
      </c>
      <c r="R56" s="32"/>
    </row>
    <row r="57" spans="1:18" x14ac:dyDescent="0.45">
      <c r="A57" s="3">
        <f t="shared" si="16"/>
        <v>4772.3550000000005</v>
      </c>
      <c r="B57" s="103">
        <f>A57/((1+$F$16)^($F$12-29))</f>
        <v>4677.5402999817143</v>
      </c>
      <c r="C57" s="19">
        <f t="shared" si="12"/>
        <v>45184</v>
      </c>
      <c r="D57" s="26">
        <f t="shared" si="4"/>
        <v>29</v>
      </c>
      <c r="E57" s="34">
        <f t="shared" si="5"/>
        <v>37798.493953721641</v>
      </c>
      <c r="F57" s="107">
        <f t="shared" si="6"/>
        <v>-4772.3550000000005</v>
      </c>
      <c r="G57" s="47">
        <f t="shared" si="7"/>
        <v>94.814700018286203</v>
      </c>
      <c r="H57" s="60">
        <f t="shared" si="8"/>
        <v>33120.953653739925</v>
      </c>
      <c r="J57" s="74">
        <f t="shared" si="0"/>
        <v>29</v>
      </c>
      <c r="K57" s="48">
        <f t="shared" si="9"/>
        <v>31594.299463697011</v>
      </c>
      <c r="L57" s="43">
        <f t="shared" si="13"/>
        <v>-3949.2874329621263</v>
      </c>
      <c r="M57" s="75">
        <f t="shared" si="2"/>
        <v>27645.012030734884</v>
      </c>
      <c r="N57" s="32"/>
      <c r="O57" s="76">
        <f t="shared" si="15"/>
        <v>-115490.99099999995</v>
      </c>
      <c r="P57" s="39">
        <f t="shared" si="15"/>
        <v>6437.597067103372</v>
      </c>
      <c r="Q57" s="88">
        <f t="shared" si="11"/>
        <v>114529.33555590166</v>
      </c>
      <c r="R57" s="32"/>
    </row>
    <row r="58" spans="1:18" x14ac:dyDescent="0.45">
      <c r="A58" s="3">
        <f t="shared" si="16"/>
        <v>4772.3550000000005</v>
      </c>
      <c r="B58" s="103">
        <f>A58/((1+$F$16)^($F$12-30))</f>
        <v>4690.9690444373609</v>
      </c>
      <c r="C58" s="19">
        <f t="shared" si="12"/>
        <v>45214</v>
      </c>
      <c r="D58" s="26">
        <f t="shared" si="4"/>
        <v>30</v>
      </c>
      <c r="E58" s="34">
        <f t="shared" si="5"/>
        <v>33120.953653739925</v>
      </c>
      <c r="F58" s="107">
        <f t="shared" si="6"/>
        <v>-4772.3550000000005</v>
      </c>
      <c r="G58" s="47">
        <f t="shared" si="7"/>
        <v>81.385955562639538</v>
      </c>
      <c r="H58" s="60">
        <f t="shared" si="8"/>
        <v>28429.984609302566</v>
      </c>
      <c r="J58" s="74">
        <f t="shared" si="0"/>
        <v>30</v>
      </c>
      <c r="K58" s="48">
        <f t="shared" si="9"/>
        <v>27645.012030734884</v>
      </c>
      <c r="L58" s="43">
        <f t="shared" si="13"/>
        <v>-3949.2874329621263</v>
      </c>
      <c r="M58" s="75">
        <f t="shared" si="2"/>
        <v>23695.724597772758</v>
      </c>
      <c r="N58" s="32"/>
      <c r="O58" s="76">
        <f t="shared" si="15"/>
        <v>-120263.34599999995</v>
      </c>
      <c r="P58" s="39">
        <f t="shared" si="15"/>
        <v>6518.9830226660115</v>
      </c>
      <c r="Q58" s="88">
        <f t="shared" si="11"/>
        <v>118478.62298886379</v>
      </c>
      <c r="R58" s="32"/>
    </row>
    <row r="59" spans="1:18" x14ac:dyDescent="0.45">
      <c r="A59" s="3">
        <f t="shared" si="16"/>
        <v>4772.3550000000005</v>
      </c>
      <c r="B59" s="103">
        <f>A59/((1+$F$16)^($F$12-31))</f>
        <v>4704.4363414582649</v>
      </c>
      <c r="C59" s="19">
        <f t="shared" si="12"/>
        <v>45245</v>
      </c>
      <c r="D59" s="26">
        <f t="shared" si="4"/>
        <v>31</v>
      </c>
      <c r="E59" s="34">
        <f t="shared" si="5"/>
        <v>28429.984609302566</v>
      </c>
      <c r="F59" s="107">
        <f t="shared" si="6"/>
        <v>-4772.3550000000005</v>
      </c>
      <c r="G59" s="47">
        <f t="shared" si="7"/>
        <v>67.918658541735567</v>
      </c>
      <c r="H59" s="60">
        <f t="shared" si="8"/>
        <v>23725.5482678443</v>
      </c>
      <c r="J59" s="74">
        <f t="shared" si="0"/>
        <v>31</v>
      </c>
      <c r="K59" s="48">
        <f t="shared" si="9"/>
        <v>23695.724597772758</v>
      </c>
      <c r="L59" s="43">
        <f t="shared" si="13"/>
        <v>-3949.2874329621263</v>
      </c>
      <c r="M59" s="75">
        <f t="shared" si="2"/>
        <v>19746.437164810632</v>
      </c>
      <c r="N59" s="32"/>
      <c r="O59" s="76">
        <f t="shared" si="15"/>
        <v>-125035.70099999994</v>
      </c>
      <c r="P59" s="39">
        <f t="shared" si="15"/>
        <v>6586.9016812077471</v>
      </c>
      <c r="Q59" s="88">
        <f t="shared" si="11"/>
        <v>122427.91042182592</v>
      </c>
      <c r="R59" s="32"/>
    </row>
    <row r="60" spans="1:18" x14ac:dyDescent="0.45">
      <c r="A60" s="3">
        <f t="shared" si="16"/>
        <v>4772.3550000000005</v>
      </c>
      <c r="B60" s="103">
        <f>A60/((1+$F$16)^($F$12-32))</f>
        <v>4717.9423017249346</v>
      </c>
      <c r="C60" s="19">
        <f t="shared" si="12"/>
        <v>45275</v>
      </c>
      <c r="D60" s="26">
        <f t="shared" si="4"/>
        <v>32</v>
      </c>
      <c r="E60" s="34">
        <f t="shared" si="5"/>
        <v>23725.5482678443</v>
      </c>
      <c r="F60" s="107">
        <f t="shared" si="6"/>
        <v>-4772.3550000000005</v>
      </c>
      <c r="G60" s="47">
        <f t="shared" si="7"/>
        <v>54.41269827506585</v>
      </c>
      <c r="H60" s="60">
        <f t="shared" si="8"/>
        <v>19007.605966119365</v>
      </c>
      <c r="J60" s="74">
        <f t="shared" si="0"/>
        <v>32</v>
      </c>
      <c r="K60" s="48">
        <f t="shared" si="9"/>
        <v>19746.437164810632</v>
      </c>
      <c r="L60" s="43">
        <f t="shared" si="13"/>
        <v>-3949.2874329621263</v>
      </c>
      <c r="M60" s="75">
        <f t="shared" si="2"/>
        <v>15797.149731848505</v>
      </c>
      <c r="N60" s="32"/>
      <c r="O60" s="76">
        <f t="shared" si="15"/>
        <v>-129808.05599999994</v>
      </c>
      <c r="P60" s="39">
        <f t="shared" si="15"/>
        <v>6641.3143794828129</v>
      </c>
      <c r="Q60" s="88">
        <f t="shared" si="11"/>
        <v>126377.19785478804</v>
      </c>
      <c r="R60" s="32"/>
    </row>
    <row r="61" spans="1:18" x14ac:dyDescent="0.45">
      <c r="A61" s="3">
        <f t="shared" si="16"/>
        <v>4772.3550000000005</v>
      </c>
      <c r="B61" s="103">
        <f>A61/((1+$F$16)^($F$12-33))</f>
        <v>4731.4870362356342</v>
      </c>
      <c r="C61" s="19">
        <f t="shared" si="12"/>
        <v>45306</v>
      </c>
      <c r="D61" s="26">
        <f t="shared" si="4"/>
        <v>33</v>
      </c>
      <c r="E61" s="34">
        <f t="shared" si="5"/>
        <v>19007.605966119365</v>
      </c>
      <c r="F61" s="107">
        <f t="shared" si="6"/>
        <v>-4772.3550000000005</v>
      </c>
      <c r="G61" s="47">
        <f t="shared" si="7"/>
        <v>40.867963764366323</v>
      </c>
      <c r="H61" s="60">
        <f t="shared" si="8"/>
        <v>14276.118929883731</v>
      </c>
      <c r="J61" s="74">
        <f t="shared" si="0"/>
        <v>33</v>
      </c>
      <c r="K61" s="48">
        <f t="shared" si="9"/>
        <v>15797.149731848505</v>
      </c>
      <c r="L61" s="43">
        <f t="shared" si="13"/>
        <v>-3949.2874329621263</v>
      </c>
      <c r="M61" s="75">
        <f t="shared" si="2"/>
        <v>11847.862298886379</v>
      </c>
      <c r="N61" s="32"/>
      <c r="O61" s="76">
        <f t="shared" si="15"/>
        <v>-134580.41099999993</v>
      </c>
      <c r="P61" s="39">
        <f t="shared" si="15"/>
        <v>6682.1823432471792</v>
      </c>
      <c r="Q61" s="88">
        <f t="shared" si="11"/>
        <v>130326.48528775017</v>
      </c>
      <c r="R61" s="32"/>
    </row>
    <row r="62" spans="1:18" x14ac:dyDescent="0.45">
      <c r="A62" s="3">
        <f t="shared" si="16"/>
        <v>4772.3550000000005</v>
      </c>
      <c r="B62" s="103">
        <f>A62/((1+$F$16)^($F$12-34))</f>
        <v>4745.0706563072908</v>
      </c>
      <c r="C62" s="19">
        <f t="shared" si="12"/>
        <v>45337</v>
      </c>
      <c r="D62" s="26">
        <f t="shared" si="4"/>
        <v>34</v>
      </c>
      <c r="E62" s="34">
        <f t="shared" si="5"/>
        <v>14276.118929883731</v>
      </c>
      <c r="F62" s="107">
        <f t="shared" si="6"/>
        <v>-4772.3550000000005</v>
      </c>
      <c r="G62" s="47">
        <f t="shared" si="7"/>
        <v>27.284343692709626</v>
      </c>
      <c r="H62" s="60">
        <f t="shared" si="8"/>
        <v>9531.0482735764417</v>
      </c>
      <c r="J62" s="74">
        <f t="shared" si="0"/>
        <v>34</v>
      </c>
      <c r="K62" s="48">
        <f t="shared" si="9"/>
        <v>11847.862298886379</v>
      </c>
      <c r="L62" s="43">
        <f t="shared" si="13"/>
        <v>-3949.2874329621263</v>
      </c>
      <c r="M62" s="75">
        <f t="shared" si="2"/>
        <v>7898.5748659242527</v>
      </c>
      <c r="N62" s="32"/>
      <c r="O62" s="76">
        <f t="shared" ref="O62:P64" si="17">+O61+F62</f>
        <v>-139352.76599999995</v>
      </c>
      <c r="P62" s="39">
        <f t="shared" si="17"/>
        <v>6709.4666869398889</v>
      </c>
      <c r="Q62" s="88">
        <f t="shared" si="11"/>
        <v>134275.7727207123</v>
      </c>
      <c r="R62" s="32"/>
    </row>
    <row r="63" spans="1:18" x14ac:dyDescent="0.45">
      <c r="A63" s="3">
        <f t="shared" si="16"/>
        <v>4772.3550000000005</v>
      </c>
      <c r="B63" s="103">
        <f>A63/((1+$F$16)^($F$12-35))</f>
        <v>4758.6932735764112</v>
      </c>
      <c r="C63" s="19">
        <f t="shared" si="12"/>
        <v>45366</v>
      </c>
      <c r="D63" s="26">
        <f t="shared" si="4"/>
        <v>35</v>
      </c>
      <c r="E63" s="34">
        <f t="shared" si="5"/>
        <v>9531.0482735764417</v>
      </c>
      <c r="F63" s="107">
        <f t="shared" si="6"/>
        <v>-4772.3550000000005</v>
      </c>
      <c r="G63" s="47">
        <f t="shared" si="7"/>
        <v>13.661726423589243</v>
      </c>
      <c r="H63" s="60">
        <f t="shared" si="8"/>
        <v>4772.3550000000305</v>
      </c>
      <c r="J63" s="74">
        <f t="shared" si="0"/>
        <v>35</v>
      </c>
      <c r="K63" s="48">
        <f t="shared" si="9"/>
        <v>7898.5748659242527</v>
      </c>
      <c r="L63" s="43">
        <f t="shared" si="13"/>
        <v>-3949.2874329621263</v>
      </c>
      <c r="M63" s="75">
        <f t="shared" si="2"/>
        <v>3949.2874329621263</v>
      </c>
      <c r="N63" s="32"/>
      <c r="O63" s="76">
        <f t="shared" si="17"/>
        <v>-144125.12099999996</v>
      </c>
      <c r="P63" s="39">
        <f t="shared" si="17"/>
        <v>6723.1284133634781</v>
      </c>
      <c r="Q63" s="88">
        <f t="shared" si="11"/>
        <v>138225.06015367442</v>
      </c>
      <c r="R63" s="32"/>
    </row>
    <row r="64" spans="1:18" x14ac:dyDescent="0.45">
      <c r="A64" s="3">
        <f t="shared" si="16"/>
        <v>4772.3550000000005</v>
      </c>
      <c r="B64" s="103">
        <f>A64/((1+$F$16)^($F$12-36))</f>
        <v>4772.3550000000005</v>
      </c>
      <c r="C64" s="19">
        <f t="shared" si="12"/>
        <v>45397</v>
      </c>
      <c r="D64" s="26">
        <f t="shared" si="4"/>
        <v>36</v>
      </c>
      <c r="E64" s="34">
        <f t="shared" si="5"/>
        <v>4772.3550000000305</v>
      </c>
      <c r="F64" s="107">
        <f t="shared" si="6"/>
        <v>-4772.3550000000005</v>
      </c>
      <c r="G64" s="47">
        <f t="shared" si="7"/>
        <v>0</v>
      </c>
      <c r="H64" s="60">
        <f t="shared" si="8"/>
        <v>3.0013325158506632E-11</v>
      </c>
      <c r="J64" s="74">
        <f t="shared" si="0"/>
        <v>36</v>
      </c>
      <c r="K64" s="48">
        <f t="shared" si="9"/>
        <v>3949.2874329621263</v>
      </c>
      <c r="L64" s="43">
        <f t="shared" si="13"/>
        <v>-3949.2874329621263</v>
      </c>
      <c r="M64" s="75">
        <f t="shared" si="2"/>
        <v>0</v>
      </c>
      <c r="N64" s="32"/>
      <c r="O64" s="76">
        <f t="shared" si="17"/>
        <v>-148897.47599999997</v>
      </c>
      <c r="P64" s="39">
        <f t="shared" si="17"/>
        <v>6723.1284133634781</v>
      </c>
      <c r="Q64" s="88">
        <f t="shared" si="11"/>
        <v>142174.34758663655</v>
      </c>
      <c r="R64" s="32"/>
    </row>
    <row r="65" spans="2:18" x14ac:dyDescent="0.45">
      <c r="B65" s="7"/>
      <c r="C65" s="19">
        <f t="shared" si="12"/>
        <v>45427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2"/>
        <v>45458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2"/>
        <v>45488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2"/>
        <v>45519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2"/>
        <v>45550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2"/>
        <v>45580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2"/>
        <v>45611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2"/>
        <v>45641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2"/>
        <v>45672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2"/>
        <v>45703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2"/>
        <v>45731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2"/>
        <v>45762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2"/>
        <v>45792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2"/>
        <v>45823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2"/>
        <v>45853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2"/>
        <v>45884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2"/>
        <v>45915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2"/>
        <v>45945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2"/>
        <v>45976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2"/>
        <v>46006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2"/>
        <v>46037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2"/>
        <v>46068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2"/>
        <v>46096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2"/>
        <v>46127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2"/>
        <v>46157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2"/>
        <v>46188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2"/>
        <v>46218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2"/>
        <v>46249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2"/>
        <v>46280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2"/>
        <v>46310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8">DATE(YEAR(C94),MONTH(C94)+1,DAY(C94))</f>
        <v>46341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8"/>
        <v>46371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8"/>
        <v>46402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8"/>
        <v>46433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8"/>
        <v>46461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8"/>
        <v>46492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8"/>
        <v>46522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8"/>
        <v>46553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8"/>
        <v>46583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8"/>
        <v>46614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8"/>
        <v>46645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8"/>
        <v>46675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8"/>
        <v>46706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-148897.47599999997</v>
      </c>
      <c r="G110" s="43">
        <f>SUM(G29:G107)</f>
        <v>6723.1284133634781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142174.34758663655</v>
      </c>
      <c r="G116" s="119">
        <f>INDEX(M:M,MATCH(DATE(2021,12,DAY(D10)),C:C))</f>
        <v>110580.04812293954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-25580.857947362783</v>
      </c>
      <c r="G119" s="113">
        <f ca="1">IFERROR(SUM(INDIRECT("F"&amp;MATCH(DATE(2022,1,DAY(D10)),C:C)):INDIRECT("G"&amp;MATCH(DATE(2022,1,DAY(D10)),C:C)+11)),VALUE("0"))</f>
        <v>-44302.162943701194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-116593.48963927376</v>
      </c>
      <c r="G123" s="113">
        <f ca="1">IFERROR(SUM(INDIRECT("F"&amp;MATCH(DATE(2023,1,DAY(D10)),C:C)):G107),VALUE("0"))</f>
        <v>-72291.32669557257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-47087.235999999997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-73812.424000000014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BBF94-6CB7-40A4-A30A-18FDDE1F7B3A}">
  <dimension ref="A1:R130"/>
  <sheetViews>
    <sheetView topLeftCell="A109" zoomScale="85" zoomScaleNormal="85" workbookViewId="0">
      <selection activeCell="F116" sqref="F116"/>
    </sheetView>
  </sheetViews>
  <sheetFormatPr defaultRowHeight="14.25" x14ac:dyDescent="0.45"/>
  <cols>
    <col min="1" max="1" width="12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198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 t="str">
        <f>VLOOKUP($C$2,'Lease Summary'!D:H,5,FALSE)</f>
        <v>See A28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44409</v>
      </c>
      <c r="E10" s="12">
        <f>VLOOKUP($C$2,'Lease Summary'!D:H,4,FALSE)</f>
        <v>45504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Option stated but with no amount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32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 t="str">
        <f>D7</f>
        <v>See A28</v>
      </c>
      <c r="G22" s="7" t="s">
        <v>229</v>
      </c>
      <c r="H22" s="53">
        <f>A28</f>
        <v>273694.89853015589</v>
      </c>
      <c r="J22" s="17" t="s">
        <v>234</v>
      </c>
      <c r="K22" s="22"/>
      <c r="L22" s="7"/>
      <c r="M22" s="65">
        <f>H22</f>
        <v>273694.89853015589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273694.89853015589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 s="3">
        <v>7750</v>
      </c>
      <c r="B29" s="103">
        <f>A29/((1+$F$16)^($F$12-1))</f>
        <v>7010.1237116546408</v>
      </c>
      <c r="C29" s="19">
        <f>D10</f>
        <v>44409</v>
      </c>
      <c r="D29" s="27">
        <v>1</v>
      </c>
      <c r="E29" s="33">
        <f>A28</f>
        <v>273694.89853015589</v>
      </c>
      <c r="F29" s="106">
        <f>-A29</f>
        <v>-7750</v>
      </c>
      <c r="G29" s="46">
        <f>A29-B29</f>
        <v>739.87628834535917</v>
      </c>
      <c r="H29" s="59">
        <f>SUM(E29:G29)</f>
        <v>266684.77481850126</v>
      </c>
      <c r="J29" s="69">
        <f t="shared" ref="J29:J64" si="0">D29</f>
        <v>1</v>
      </c>
      <c r="K29" s="70">
        <f>M22</f>
        <v>273694.89853015589</v>
      </c>
      <c r="L29" s="42">
        <f t="shared" ref="L29:L40" si="1">-$M$22/$F$12</f>
        <v>-7602.6360702821075</v>
      </c>
      <c r="M29" s="71">
        <f t="shared" ref="M29:M64" si="2">K29+L29</f>
        <v>266092.2624598738</v>
      </c>
      <c r="N29" s="32"/>
      <c r="O29" s="72">
        <f>+F29</f>
        <v>-7750</v>
      </c>
      <c r="P29" s="73">
        <f>+G29</f>
        <v>739.87628834535917</v>
      </c>
      <c r="Q29" s="71">
        <f>-L29</f>
        <v>7602.6360702821075</v>
      </c>
      <c r="R29" s="85"/>
    </row>
    <row r="30" spans="1:18" x14ac:dyDescent="0.45">
      <c r="A30" s="3">
        <v>7750</v>
      </c>
      <c r="B30" s="103">
        <f>A30/((1+$F$16)^($F$12-2))</f>
        <v>7030.2490668389992</v>
      </c>
      <c r="C30" s="19">
        <f>DATE(YEAR(C29),MONTH(C29)+1,DAY(C29))</f>
        <v>44440</v>
      </c>
      <c r="D30" s="26">
        <f t="shared" ref="D30:D64" si="3">D29+1</f>
        <v>2</v>
      </c>
      <c r="E30" s="34">
        <f t="shared" ref="E30:E64" si="4">H29</f>
        <v>266684.77481850126</v>
      </c>
      <c r="F30" s="107">
        <f t="shared" ref="F30:F64" si="5">-A30</f>
        <v>-7750</v>
      </c>
      <c r="G30" s="47">
        <f t="shared" ref="G30:G64" si="6">A30-B30</f>
        <v>719.75093316100083</v>
      </c>
      <c r="H30" s="60">
        <f t="shared" ref="H30:H64" si="7">SUM(E30:G30)</f>
        <v>259654.52575166227</v>
      </c>
      <c r="J30" s="74">
        <f t="shared" si="0"/>
        <v>2</v>
      </c>
      <c r="K30" s="48">
        <f t="shared" ref="K30:K64" si="8">M29</f>
        <v>266092.2624598738</v>
      </c>
      <c r="L30" s="43">
        <f t="shared" si="1"/>
        <v>-7602.6360702821075</v>
      </c>
      <c r="M30" s="75">
        <f t="shared" si="2"/>
        <v>258489.62638959169</v>
      </c>
      <c r="N30" s="32"/>
      <c r="O30" s="76">
        <f t="shared" ref="O30:P45" si="9">+O29+F30</f>
        <v>-15500</v>
      </c>
      <c r="P30" s="77">
        <f t="shared" si="9"/>
        <v>1459.62722150636</v>
      </c>
      <c r="Q30" s="75">
        <f t="shared" ref="Q30:Q64" si="10">+Q29-L30</f>
        <v>15205.272140564215</v>
      </c>
      <c r="R30" s="86"/>
    </row>
    <row r="31" spans="1:18" x14ac:dyDescent="0.45">
      <c r="A31" s="3">
        <v>7750</v>
      </c>
      <c r="B31" s="103">
        <f>A31/((1+$F$16)^($F$12-3))</f>
        <v>7050.4321998797768</v>
      </c>
      <c r="C31" s="19">
        <f t="shared" ref="C31:C94" si="11">DATE(YEAR(C30),MONTH(C30)+1,DAY(C30))</f>
        <v>44470</v>
      </c>
      <c r="D31" s="26">
        <f t="shared" si="3"/>
        <v>3</v>
      </c>
      <c r="E31" s="34">
        <f t="shared" si="4"/>
        <v>259654.52575166227</v>
      </c>
      <c r="F31" s="107">
        <f t="shared" si="5"/>
        <v>-7750</v>
      </c>
      <c r="G31" s="47">
        <f t="shared" si="6"/>
        <v>699.56780012022318</v>
      </c>
      <c r="H31" s="60">
        <f t="shared" si="7"/>
        <v>252604.09355178248</v>
      </c>
      <c r="J31" s="74">
        <f t="shared" si="0"/>
        <v>3</v>
      </c>
      <c r="K31" s="48">
        <f t="shared" si="8"/>
        <v>258489.62638959169</v>
      </c>
      <c r="L31" s="43">
        <f t="shared" si="1"/>
        <v>-7602.6360702821075</v>
      </c>
      <c r="M31" s="75">
        <f t="shared" si="2"/>
        <v>250886.99031930958</v>
      </c>
      <c r="N31" s="32"/>
      <c r="O31" s="76">
        <f t="shared" si="9"/>
        <v>-23250</v>
      </c>
      <c r="P31" s="39">
        <f t="shared" si="9"/>
        <v>2159.1950216265832</v>
      </c>
      <c r="Q31" s="88">
        <f t="shared" si="10"/>
        <v>22807.908210846323</v>
      </c>
      <c r="R31" s="86"/>
    </row>
    <row r="32" spans="1:18" x14ac:dyDescent="0.45">
      <c r="A32" s="3">
        <v>7750</v>
      </c>
      <c r="B32" s="103">
        <f>A32/((1+$F$16)^($F$12-4))</f>
        <v>7070.6732766513478</v>
      </c>
      <c r="C32" s="19">
        <f t="shared" si="11"/>
        <v>44501</v>
      </c>
      <c r="D32" s="26">
        <f t="shared" si="3"/>
        <v>4</v>
      </c>
      <c r="E32" s="34">
        <f t="shared" si="4"/>
        <v>252604.09355178248</v>
      </c>
      <c r="F32" s="107">
        <f t="shared" si="5"/>
        <v>-7750</v>
      </c>
      <c r="G32" s="47">
        <f t="shared" si="6"/>
        <v>679.32672334865219</v>
      </c>
      <c r="H32" s="60">
        <f t="shared" si="7"/>
        <v>245533.42027513112</v>
      </c>
      <c r="J32" s="74">
        <f t="shared" si="0"/>
        <v>4</v>
      </c>
      <c r="K32" s="48">
        <f t="shared" si="8"/>
        <v>250886.99031930958</v>
      </c>
      <c r="L32" s="43">
        <f t="shared" si="1"/>
        <v>-7602.6360702821075</v>
      </c>
      <c r="M32" s="75">
        <f t="shared" si="2"/>
        <v>243284.35424902747</v>
      </c>
      <c r="N32" s="32"/>
      <c r="O32" s="76">
        <f t="shared" si="9"/>
        <v>-31000</v>
      </c>
      <c r="P32" s="39">
        <f t="shared" si="9"/>
        <v>2838.5217449752354</v>
      </c>
      <c r="Q32" s="88">
        <f t="shared" si="10"/>
        <v>30410.54428112843</v>
      </c>
      <c r="R32" s="86"/>
    </row>
    <row r="33" spans="1:18" x14ac:dyDescent="0.45">
      <c r="A33" s="3">
        <v>7750</v>
      </c>
      <c r="B33" s="103">
        <f>A33/((1+$F$16)^($F$12-5))</f>
        <v>7090.9724635042949</v>
      </c>
      <c r="C33" s="19">
        <f t="shared" si="11"/>
        <v>44531</v>
      </c>
      <c r="D33" s="26">
        <f t="shared" si="3"/>
        <v>5</v>
      </c>
      <c r="E33" s="34">
        <f t="shared" si="4"/>
        <v>245533.42027513112</v>
      </c>
      <c r="F33" s="107">
        <f t="shared" si="5"/>
        <v>-7750</v>
      </c>
      <c r="G33" s="47">
        <f t="shared" si="6"/>
        <v>659.02753649570514</v>
      </c>
      <c r="H33" s="60">
        <f t="shared" si="7"/>
        <v>238442.44781162683</v>
      </c>
      <c r="J33" s="74">
        <f t="shared" si="0"/>
        <v>5</v>
      </c>
      <c r="K33" s="48">
        <f t="shared" si="8"/>
        <v>243284.35424902747</v>
      </c>
      <c r="L33" s="43">
        <f t="shared" si="1"/>
        <v>-7602.6360702821075</v>
      </c>
      <c r="M33" s="75">
        <f t="shared" si="2"/>
        <v>235681.71817874536</v>
      </c>
      <c r="N33" s="32"/>
      <c r="O33" s="76">
        <f t="shared" si="9"/>
        <v>-38750</v>
      </c>
      <c r="P33" s="39">
        <f t="shared" si="9"/>
        <v>3497.5492814709405</v>
      </c>
      <c r="Q33" s="88">
        <f t="shared" si="10"/>
        <v>38013.180351410541</v>
      </c>
      <c r="R33" s="86"/>
    </row>
    <row r="34" spans="1:18" x14ac:dyDescent="0.45">
      <c r="A34" s="3">
        <v>7750</v>
      </c>
      <c r="B34" s="103">
        <f>A34/((1+$F$16)^($F$12-6))</f>
        <v>7111.3299272667773</v>
      </c>
      <c r="C34" s="19">
        <f t="shared" si="11"/>
        <v>44562</v>
      </c>
      <c r="D34" s="26">
        <f t="shared" si="3"/>
        <v>6</v>
      </c>
      <c r="E34" s="34">
        <f t="shared" si="4"/>
        <v>238442.44781162683</v>
      </c>
      <c r="F34" s="107">
        <f t="shared" si="5"/>
        <v>-7750</v>
      </c>
      <c r="G34" s="47">
        <f t="shared" si="6"/>
        <v>638.6700727332227</v>
      </c>
      <c r="H34" s="60">
        <f t="shared" si="7"/>
        <v>231331.11788436005</v>
      </c>
      <c r="J34" s="74">
        <f t="shared" si="0"/>
        <v>6</v>
      </c>
      <c r="K34" s="48">
        <f t="shared" si="8"/>
        <v>235681.71817874536</v>
      </c>
      <c r="L34" s="43">
        <f t="shared" si="1"/>
        <v>-7602.6360702821075</v>
      </c>
      <c r="M34" s="75">
        <f t="shared" si="2"/>
        <v>228079.08210846325</v>
      </c>
      <c r="N34" s="32"/>
      <c r="O34" s="76">
        <f t="shared" si="9"/>
        <v>-46500</v>
      </c>
      <c r="P34" s="39">
        <f t="shared" si="9"/>
        <v>4136.2193542041632</v>
      </c>
      <c r="Q34" s="88">
        <f t="shared" si="10"/>
        <v>45615.816421692653</v>
      </c>
      <c r="R34" s="86"/>
    </row>
    <row r="35" spans="1:18" x14ac:dyDescent="0.45">
      <c r="A35" s="3">
        <v>7750</v>
      </c>
      <c r="B35" s="103">
        <f>A35/((1+$F$16)^($F$12-7))</f>
        <v>7131.7458352459007</v>
      </c>
      <c r="C35" s="19">
        <f t="shared" si="11"/>
        <v>44593</v>
      </c>
      <c r="D35" s="26">
        <f t="shared" si="3"/>
        <v>7</v>
      </c>
      <c r="E35" s="34">
        <f t="shared" si="4"/>
        <v>231331.11788436005</v>
      </c>
      <c r="F35" s="107">
        <f t="shared" si="5"/>
        <v>-7750</v>
      </c>
      <c r="G35" s="47">
        <f t="shared" si="6"/>
        <v>618.25416475409929</v>
      </c>
      <c r="H35" s="60">
        <f t="shared" si="7"/>
        <v>224199.37204911414</v>
      </c>
      <c r="J35" s="74">
        <f t="shared" si="0"/>
        <v>7</v>
      </c>
      <c r="K35" s="48">
        <f t="shared" si="8"/>
        <v>228079.08210846325</v>
      </c>
      <c r="L35" s="43">
        <f t="shared" si="1"/>
        <v>-7602.6360702821075</v>
      </c>
      <c r="M35" s="75">
        <f t="shared" si="2"/>
        <v>220476.44603818114</v>
      </c>
      <c r="N35" s="32"/>
      <c r="O35" s="76">
        <f t="shared" si="9"/>
        <v>-54250</v>
      </c>
      <c r="P35" s="39">
        <f t="shared" si="9"/>
        <v>4754.4735189582625</v>
      </c>
      <c r="Q35" s="88">
        <f t="shared" si="10"/>
        <v>53218.452491974764</v>
      </c>
      <c r="R35" s="86"/>
    </row>
    <row r="36" spans="1:18" x14ac:dyDescent="0.45">
      <c r="A36" s="3">
        <v>7750</v>
      </c>
      <c r="B36" s="103">
        <f>A36/((1+$F$16)^($F$12-8))</f>
        <v>7152.2203552290857</v>
      </c>
      <c r="C36" s="19">
        <f t="shared" si="11"/>
        <v>44621</v>
      </c>
      <c r="D36" s="26">
        <f t="shared" si="3"/>
        <v>8</v>
      </c>
      <c r="E36" s="34">
        <f t="shared" si="4"/>
        <v>224199.37204911414</v>
      </c>
      <c r="F36" s="107">
        <f t="shared" si="5"/>
        <v>-7750</v>
      </c>
      <c r="G36" s="47">
        <f t="shared" si="6"/>
        <v>597.77964477091427</v>
      </c>
      <c r="H36" s="60">
        <f t="shared" si="7"/>
        <v>217047.15169388507</v>
      </c>
      <c r="J36" s="74">
        <f t="shared" si="0"/>
        <v>8</v>
      </c>
      <c r="K36" s="48">
        <f t="shared" si="8"/>
        <v>220476.44603818114</v>
      </c>
      <c r="L36" s="43">
        <f t="shared" si="1"/>
        <v>-7602.6360702821075</v>
      </c>
      <c r="M36" s="75">
        <f t="shared" si="2"/>
        <v>212873.80996789903</v>
      </c>
      <c r="N36" s="32"/>
      <c r="O36" s="76">
        <f t="shared" si="9"/>
        <v>-62000</v>
      </c>
      <c r="P36" s="39">
        <f t="shared" si="9"/>
        <v>5352.2531637291768</v>
      </c>
      <c r="Q36" s="88">
        <f t="shared" si="10"/>
        <v>60821.088562256875</v>
      </c>
      <c r="R36" s="86"/>
    </row>
    <row r="37" spans="1:18" x14ac:dyDescent="0.45">
      <c r="A37" s="3">
        <v>7750</v>
      </c>
      <c r="B37" s="103">
        <f>A37/((1+$F$16)^($F$12-9))</f>
        <v>7172.7536554854678</v>
      </c>
      <c r="C37" s="19">
        <f t="shared" si="11"/>
        <v>44652</v>
      </c>
      <c r="D37" s="26">
        <f t="shared" si="3"/>
        <v>9</v>
      </c>
      <c r="E37" s="34">
        <f t="shared" si="4"/>
        <v>217047.15169388507</v>
      </c>
      <c r="F37" s="107">
        <f t="shared" si="5"/>
        <v>-7750</v>
      </c>
      <c r="G37" s="47">
        <f t="shared" si="6"/>
        <v>577.24634451453221</v>
      </c>
      <c r="H37" s="60">
        <f t="shared" si="7"/>
        <v>209874.39803839961</v>
      </c>
      <c r="J37" s="74">
        <f t="shared" si="0"/>
        <v>9</v>
      </c>
      <c r="K37" s="48">
        <f t="shared" si="8"/>
        <v>212873.80996789903</v>
      </c>
      <c r="L37" s="43">
        <f t="shared" si="1"/>
        <v>-7602.6360702821075</v>
      </c>
      <c r="M37" s="75">
        <f t="shared" si="2"/>
        <v>205271.17389761691</v>
      </c>
      <c r="N37" s="32"/>
      <c r="O37" s="76">
        <f t="shared" si="9"/>
        <v>-69750</v>
      </c>
      <c r="P37" s="39">
        <f t="shared" si="9"/>
        <v>5929.499508243709</v>
      </c>
      <c r="Q37" s="88">
        <f t="shared" si="10"/>
        <v>68423.724632538986</v>
      </c>
      <c r="R37" s="86"/>
    </row>
    <row r="38" spans="1:18" x14ac:dyDescent="0.45">
      <c r="A38" s="3">
        <v>7750</v>
      </c>
      <c r="B38" s="103">
        <f>A38/((1+$F$16)^($F$12-10))</f>
        <v>7193.3459047672532</v>
      </c>
      <c r="C38" s="19">
        <f t="shared" si="11"/>
        <v>44682</v>
      </c>
      <c r="D38" s="26">
        <f t="shared" si="3"/>
        <v>10</v>
      </c>
      <c r="E38" s="34">
        <f t="shared" si="4"/>
        <v>209874.39803839961</v>
      </c>
      <c r="F38" s="107">
        <f t="shared" si="5"/>
        <v>-7750</v>
      </c>
      <c r="G38" s="47">
        <f t="shared" si="6"/>
        <v>556.65409523274684</v>
      </c>
      <c r="H38" s="60">
        <f t="shared" si="7"/>
        <v>202681.05213363236</v>
      </c>
      <c r="J38" s="74">
        <f t="shared" si="0"/>
        <v>10</v>
      </c>
      <c r="K38" s="48">
        <f t="shared" si="8"/>
        <v>205271.17389761691</v>
      </c>
      <c r="L38" s="43">
        <f t="shared" si="1"/>
        <v>-7602.6360702821075</v>
      </c>
      <c r="M38" s="75">
        <f t="shared" si="2"/>
        <v>197668.5378273348</v>
      </c>
      <c r="N38" s="32"/>
      <c r="O38" s="76">
        <f t="shared" si="9"/>
        <v>-77500</v>
      </c>
      <c r="P38" s="39">
        <f t="shared" si="9"/>
        <v>6486.1536034764558</v>
      </c>
      <c r="Q38" s="88">
        <f t="shared" si="10"/>
        <v>76026.360702821097</v>
      </c>
      <c r="R38" s="87"/>
    </row>
    <row r="39" spans="1:18" x14ac:dyDescent="0.45">
      <c r="A39" s="3">
        <v>7750</v>
      </c>
      <c r="B39" s="103">
        <f>A39/((1+$F$16)^($F$12-11))</f>
        <v>7213.9972723111241</v>
      </c>
      <c r="C39" s="19">
        <f t="shared" si="11"/>
        <v>44713</v>
      </c>
      <c r="D39" s="26">
        <f t="shared" si="3"/>
        <v>11</v>
      </c>
      <c r="E39" s="34">
        <f t="shared" si="4"/>
        <v>202681.05213363236</v>
      </c>
      <c r="F39" s="107">
        <f t="shared" si="5"/>
        <v>-7750</v>
      </c>
      <c r="G39" s="47">
        <f t="shared" si="6"/>
        <v>536.00272768887589</v>
      </c>
      <c r="H39" s="60">
        <f t="shared" si="7"/>
        <v>195467.05486132123</v>
      </c>
      <c r="J39" s="74">
        <f t="shared" si="0"/>
        <v>11</v>
      </c>
      <c r="K39" s="48">
        <f t="shared" si="8"/>
        <v>197668.5378273348</v>
      </c>
      <c r="L39" s="43">
        <f t="shared" si="1"/>
        <v>-7602.6360702821075</v>
      </c>
      <c r="M39" s="75">
        <f t="shared" si="2"/>
        <v>190065.90175705269</v>
      </c>
      <c r="N39" s="32"/>
      <c r="O39" s="76">
        <f t="shared" si="9"/>
        <v>-85250</v>
      </c>
      <c r="P39" s="39">
        <f t="shared" si="9"/>
        <v>7022.1563311653317</v>
      </c>
      <c r="Q39" s="88">
        <f t="shared" si="10"/>
        <v>83628.996773103208</v>
      </c>
      <c r="R39" s="87"/>
    </row>
    <row r="40" spans="1:18" x14ac:dyDescent="0.45">
      <c r="A40" s="3">
        <v>7750</v>
      </c>
      <c r="B40" s="103">
        <f>A40/((1+$F$16)^($F$12-12))</f>
        <v>7234.707927839625</v>
      </c>
      <c r="C40" s="19">
        <f t="shared" si="11"/>
        <v>44743</v>
      </c>
      <c r="D40" s="26">
        <f t="shared" si="3"/>
        <v>12</v>
      </c>
      <c r="E40" s="34">
        <f t="shared" si="4"/>
        <v>195467.05486132123</v>
      </c>
      <c r="F40" s="107">
        <f t="shared" si="5"/>
        <v>-7750</v>
      </c>
      <c r="G40" s="47">
        <f t="shared" si="6"/>
        <v>515.29207216037503</v>
      </c>
      <c r="H40" s="60">
        <f t="shared" si="7"/>
        <v>188232.3469334816</v>
      </c>
      <c r="J40" s="74">
        <f t="shared" si="0"/>
        <v>12</v>
      </c>
      <c r="K40" s="48">
        <f t="shared" si="8"/>
        <v>190065.90175705269</v>
      </c>
      <c r="L40" s="43">
        <f t="shared" si="1"/>
        <v>-7602.6360702821075</v>
      </c>
      <c r="M40" s="75">
        <f t="shared" si="2"/>
        <v>182463.26568677058</v>
      </c>
      <c r="N40" s="32"/>
      <c r="O40" s="76">
        <f t="shared" si="9"/>
        <v>-93000</v>
      </c>
      <c r="P40" s="39">
        <f t="shared" si="9"/>
        <v>7537.4484033257067</v>
      </c>
      <c r="Q40" s="88">
        <f t="shared" si="10"/>
        <v>91231.63284338532</v>
      </c>
      <c r="R40" s="87"/>
    </row>
    <row r="41" spans="1:18" x14ac:dyDescent="0.45">
      <c r="A41" s="3">
        <f>A40*1.03</f>
        <v>7982.5</v>
      </c>
      <c r="B41" s="103">
        <f>A41/((1+$F$16)^($F$12-13))</f>
        <v>7473.1423828094285</v>
      </c>
      <c r="C41" s="19">
        <f t="shared" si="11"/>
        <v>44774</v>
      </c>
      <c r="D41" s="26">
        <f t="shared" si="3"/>
        <v>13</v>
      </c>
      <c r="E41" s="34">
        <f t="shared" si="4"/>
        <v>188232.3469334816</v>
      </c>
      <c r="F41" s="107">
        <f t="shared" si="5"/>
        <v>-7982.5</v>
      </c>
      <c r="G41" s="47">
        <f t="shared" si="6"/>
        <v>509.35761719057155</v>
      </c>
      <c r="H41" s="60">
        <f t="shared" si="7"/>
        <v>180759.20455067218</v>
      </c>
      <c r="J41" s="74">
        <f t="shared" si="0"/>
        <v>13</v>
      </c>
      <c r="K41" s="48">
        <f t="shared" si="8"/>
        <v>182463.26568677058</v>
      </c>
      <c r="L41" s="43">
        <f t="shared" ref="L41:L64" si="12">-$M$22/$F$12</f>
        <v>-7602.6360702821075</v>
      </c>
      <c r="M41" s="75">
        <f t="shared" si="2"/>
        <v>174860.62961648847</v>
      </c>
      <c r="N41" s="32"/>
      <c r="O41" s="76">
        <f t="shared" si="9"/>
        <v>-100982.5</v>
      </c>
      <c r="P41" s="39">
        <f t="shared" si="9"/>
        <v>8046.8060205162783</v>
      </c>
      <c r="Q41" s="88">
        <f t="shared" si="10"/>
        <v>98834.268913667431</v>
      </c>
      <c r="R41" s="87"/>
    </row>
    <row r="42" spans="1:18" x14ac:dyDescent="0.45">
      <c r="A42" s="3">
        <f>A41</f>
        <v>7982.5</v>
      </c>
      <c r="B42" s="103">
        <f>A42/((1+$F$16)^($F$12-14))</f>
        <v>7494.5970177037143</v>
      </c>
      <c r="C42" s="19">
        <f t="shared" si="11"/>
        <v>44805</v>
      </c>
      <c r="D42" s="26">
        <f t="shared" si="3"/>
        <v>14</v>
      </c>
      <c r="E42" s="34">
        <f t="shared" si="4"/>
        <v>180759.20455067218</v>
      </c>
      <c r="F42" s="107">
        <f t="shared" si="5"/>
        <v>-7982.5</v>
      </c>
      <c r="G42" s="47">
        <f t="shared" si="6"/>
        <v>487.9029822962857</v>
      </c>
      <c r="H42" s="60">
        <f t="shared" si="7"/>
        <v>173264.60753296845</v>
      </c>
      <c r="J42" s="74">
        <f t="shared" si="0"/>
        <v>14</v>
      </c>
      <c r="K42" s="48">
        <f t="shared" si="8"/>
        <v>174860.62961648847</v>
      </c>
      <c r="L42" s="43">
        <f t="shared" si="12"/>
        <v>-7602.6360702821075</v>
      </c>
      <c r="M42" s="75">
        <f t="shared" si="2"/>
        <v>167257.99354620636</v>
      </c>
      <c r="N42" s="32"/>
      <c r="O42" s="76">
        <f t="shared" si="9"/>
        <v>-108965</v>
      </c>
      <c r="P42" s="39">
        <f t="shared" si="9"/>
        <v>8534.709002812564</v>
      </c>
      <c r="Q42" s="88">
        <f t="shared" si="10"/>
        <v>106436.90498394954</v>
      </c>
      <c r="R42" s="87"/>
    </row>
    <row r="43" spans="1:18" x14ac:dyDescent="0.45">
      <c r="A43" s="3">
        <f t="shared" ref="A43:A52" si="13">A42</f>
        <v>7982.5</v>
      </c>
      <c r="B43" s="103">
        <f>A43/((1+$F$16)^($F$12-15))</f>
        <v>7516.1132466818353</v>
      </c>
      <c r="C43" s="19">
        <f t="shared" si="11"/>
        <v>44835</v>
      </c>
      <c r="D43" s="26">
        <f t="shared" si="3"/>
        <v>15</v>
      </c>
      <c r="E43" s="34">
        <f t="shared" si="4"/>
        <v>173264.60753296845</v>
      </c>
      <c r="F43" s="107">
        <f t="shared" si="5"/>
        <v>-7982.5</v>
      </c>
      <c r="G43" s="47">
        <f t="shared" si="6"/>
        <v>466.38675331816466</v>
      </c>
      <c r="H43" s="60">
        <f t="shared" si="7"/>
        <v>165748.49428628662</v>
      </c>
      <c r="J43" s="74">
        <f t="shared" si="0"/>
        <v>15</v>
      </c>
      <c r="K43" s="48">
        <f t="shared" si="8"/>
        <v>167257.99354620636</v>
      </c>
      <c r="L43" s="43">
        <f t="shared" si="12"/>
        <v>-7602.6360702821075</v>
      </c>
      <c r="M43" s="75">
        <f t="shared" si="2"/>
        <v>159655.35747592425</v>
      </c>
      <c r="N43" s="32"/>
      <c r="O43" s="76">
        <f t="shared" si="9"/>
        <v>-116947.5</v>
      </c>
      <c r="P43" s="39">
        <f t="shared" si="9"/>
        <v>9001.0957561307296</v>
      </c>
      <c r="Q43" s="88">
        <f t="shared" si="10"/>
        <v>114039.54105423165</v>
      </c>
      <c r="R43" s="87"/>
    </row>
    <row r="44" spans="1:18" x14ac:dyDescent="0.45">
      <c r="A44" s="3">
        <f t="shared" si="13"/>
        <v>7982.5</v>
      </c>
      <c r="B44" s="103">
        <f>A44/((1+$F$16)^($F$12-16))</f>
        <v>7537.6912465741689</v>
      </c>
      <c r="C44" s="19">
        <f t="shared" si="11"/>
        <v>44866</v>
      </c>
      <c r="D44" s="26">
        <f t="shared" si="3"/>
        <v>16</v>
      </c>
      <c r="E44" s="34">
        <f t="shared" si="4"/>
        <v>165748.49428628662</v>
      </c>
      <c r="F44" s="107">
        <f t="shared" si="5"/>
        <v>-7982.5</v>
      </c>
      <c r="G44" s="47">
        <f t="shared" si="6"/>
        <v>444.80875342583113</v>
      </c>
      <c r="H44" s="60">
        <f t="shared" si="7"/>
        <v>158210.80303971245</v>
      </c>
      <c r="J44" s="74">
        <f t="shared" si="0"/>
        <v>16</v>
      </c>
      <c r="K44" s="48">
        <f t="shared" si="8"/>
        <v>159655.35747592425</v>
      </c>
      <c r="L44" s="43">
        <f t="shared" si="12"/>
        <v>-7602.6360702821075</v>
      </c>
      <c r="M44" s="75">
        <f t="shared" si="2"/>
        <v>152052.72140564214</v>
      </c>
      <c r="N44" s="32"/>
      <c r="O44" s="76">
        <f t="shared" si="9"/>
        <v>-124930</v>
      </c>
      <c r="P44" s="39">
        <f t="shared" si="9"/>
        <v>9445.9045095565598</v>
      </c>
      <c r="Q44" s="88">
        <f t="shared" si="10"/>
        <v>121642.17712451376</v>
      </c>
      <c r="R44" s="87"/>
    </row>
    <row r="45" spans="1:18" x14ac:dyDescent="0.45">
      <c r="A45" s="3">
        <f t="shared" si="13"/>
        <v>7982.5</v>
      </c>
      <c r="B45" s="103">
        <f>A45/((1+$F$16)^($F$12-17))</f>
        <v>7559.3311947187531</v>
      </c>
      <c r="C45" s="19">
        <f t="shared" si="11"/>
        <v>44896</v>
      </c>
      <c r="D45" s="26">
        <f t="shared" si="3"/>
        <v>17</v>
      </c>
      <c r="E45" s="34">
        <f t="shared" si="4"/>
        <v>158210.80303971245</v>
      </c>
      <c r="F45" s="107">
        <f t="shared" si="5"/>
        <v>-7982.5</v>
      </c>
      <c r="G45" s="47">
        <f t="shared" si="6"/>
        <v>423.16880528124693</v>
      </c>
      <c r="H45" s="60">
        <f t="shared" si="7"/>
        <v>150651.47184499371</v>
      </c>
      <c r="J45" s="74">
        <f t="shared" si="0"/>
        <v>17</v>
      </c>
      <c r="K45" s="48">
        <f t="shared" si="8"/>
        <v>152052.72140564214</v>
      </c>
      <c r="L45" s="43">
        <f t="shared" si="12"/>
        <v>-7602.6360702821075</v>
      </c>
      <c r="M45" s="75">
        <f t="shared" si="2"/>
        <v>144450.08533536003</v>
      </c>
      <c r="N45" s="32"/>
      <c r="O45" s="76">
        <f t="shared" si="9"/>
        <v>-132912.5</v>
      </c>
      <c r="P45" s="39">
        <f t="shared" si="9"/>
        <v>9869.0733148378058</v>
      </c>
      <c r="Q45" s="88">
        <f t="shared" si="10"/>
        <v>129244.81319479588</v>
      </c>
      <c r="R45" s="87"/>
    </row>
    <row r="46" spans="1:18" x14ac:dyDescent="0.45">
      <c r="A46" s="3">
        <f t="shared" si="13"/>
        <v>7982.5</v>
      </c>
      <c r="B46" s="103">
        <f>A46/((1+$F$16)^($F$12-18))</f>
        <v>7581.0332689627485</v>
      </c>
      <c r="C46" s="19">
        <f t="shared" si="11"/>
        <v>44927</v>
      </c>
      <c r="D46" s="26">
        <f t="shared" si="3"/>
        <v>18</v>
      </c>
      <c r="E46" s="34">
        <f t="shared" si="4"/>
        <v>150651.47184499371</v>
      </c>
      <c r="F46" s="107">
        <f t="shared" si="5"/>
        <v>-7982.5</v>
      </c>
      <c r="G46" s="47">
        <f t="shared" si="6"/>
        <v>401.46673103725152</v>
      </c>
      <c r="H46" s="60">
        <f t="shared" si="7"/>
        <v>143070.43857603095</v>
      </c>
      <c r="J46" s="74">
        <f t="shared" si="0"/>
        <v>18</v>
      </c>
      <c r="K46" s="48">
        <f t="shared" si="8"/>
        <v>144450.08533536003</v>
      </c>
      <c r="L46" s="43">
        <f t="shared" si="12"/>
        <v>-7602.6360702821075</v>
      </c>
      <c r="M46" s="75">
        <f t="shared" si="2"/>
        <v>136847.44926507791</v>
      </c>
      <c r="N46" s="32"/>
      <c r="O46" s="76">
        <f t="shared" ref="O46:P61" si="14">+O45+F46</f>
        <v>-140895</v>
      </c>
      <c r="P46" s="39">
        <f t="shared" si="14"/>
        <v>10270.540045875057</v>
      </c>
      <c r="Q46" s="88">
        <f t="shared" si="10"/>
        <v>136847.44926507797</v>
      </c>
      <c r="R46" s="87"/>
    </row>
    <row r="47" spans="1:18" x14ac:dyDescent="0.45">
      <c r="A47" s="3">
        <f t="shared" si="13"/>
        <v>7982.5</v>
      </c>
      <c r="B47" s="103">
        <f>A47/((1+$F$16)^($F$12-19))</f>
        <v>7602.7976476638887</v>
      </c>
      <c r="C47" s="19">
        <f t="shared" si="11"/>
        <v>44958</v>
      </c>
      <c r="D47" s="26">
        <f t="shared" si="3"/>
        <v>19</v>
      </c>
      <c r="E47" s="34">
        <f t="shared" si="4"/>
        <v>143070.43857603095</v>
      </c>
      <c r="F47" s="107">
        <f t="shared" si="5"/>
        <v>-7982.5</v>
      </c>
      <c r="G47" s="47">
        <f t="shared" si="6"/>
        <v>379.70235233611129</v>
      </c>
      <c r="H47" s="60">
        <f t="shared" si="7"/>
        <v>135467.64092836707</v>
      </c>
      <c r="J47" s="74">
        <f t="shared" si="0"/>
        <v>19</v>
      </c>
      <c r="K47" s="48">
        <f t="shared" si="8"/>
        <v>136847.44926507791</v>
      </c>
      <c r="L47" s="43">
        <f t="shared" si="12"/>
        <v>-7602.6360702821075</v>
      </c>
      <c r="M47" s="75">
        <f t="shared" si="2"/>
        <v>129244.8131947958</v>
      </c>
      <c r="N47" s="32"/>
      <c r="O47" s="76">
        <f t="shared" si="14"/>
        <v>-148877.5</v>
      </c>
      <c r="P47" s="39">
        <f t="shared" si="14"/>
        <v>10650.242398211169</v>
      </c>
      <c r="Q47" s="88">
        <f t="shared" si="10"/>
        <v>144450.08533536008</v>
      </c>
      <c r="R47" s="87"/>
    </row>
    <row r="48" spans="1:18" x14ac:dyDescent="0.45">
      <c r="A48" s="3">
        <f t="shared" si="13"/>
        <v>7982.5</v>
      </c>
      <c r="B48" s="103">
        <f>A48/((1+$F$16)^($F$12-20))</f>
        <v>7624.6245096919665</v>
      </c>
      <c r="C48" s="19">
        <f t="shared" si="11"/>
        <v>44986</v>
      </c>
      <c r="D48" s="26">
        <f t="shared" si="3"/>
        <v>20</v>
      </c>
      <c r="E48" s="34">
        <f t="shared" si="4"/>
        <v>135467.64092836707</v>
      </c>
      <c r="F48" s="107">
        <f t="shared" si="5"/>
        <v>-7982.5</v>
      </c>
      <c r="G48" s="47">
        <f t="shared" si="6"/>
        <v>357.87549030803348</v>
      </c>
      <c r="H48" s="60">
        <f t="shared" si="7"/>
        <v>127843.01641867511</v>
      </c>
      <c r="J48" s="74">
        <f t="shared" si="0"/>
        <v>20</v>
      </c>
      <c r="K48" s="48">
        <f t="shared" si="8"/>
        <v>129244.8131947958</v>
      </c>
      <c r="L48" s="43">
        <f t="shared" si="12"/>
        <v>-7602.6360702821075</v>
      </c>
      <c r="M48" s="75">
        <f t="shared" si="2"/>
        <v>121642.17712451369</v>
      </c>
      <c r="N48" s="32"/>
      <c r="O48" s="76">
        <f t="shared" si="14"/>
        <v>-156860</v>
      </c>
      <c r="P48" s="39">
        <f t="shared" si="14"/>
        <v>11008.117888519202</v>
      </c>
      <c r="Q48" s="88">
        <f t="shared" si="10"/>
        <v>152052.72140564219</v>
      </c>
      <c r="R48" s="87"/>
    </row>
    <row r="49" spans="1:18" x14ac:dyDescent="0.45">
      <c r="A49" s="3">
        <f t="shared" si="13"/>
        <v>7982.5</v>
      </c>
      <c r="B49" s="103">
        <f>A49/((1+$F$16)^($F$12-21))</f>
        <v>7646.5140344302808</v>
      </c>
      <c r="C49" s="19">
        <f t="shared" si="11"/>
        <v>45017</v>
      </c>
      <c r="D49" s="26">
        <f t="shared" si="3"/>
        <v>21</v>
      </c>
      <c r="E49" s="34">
        <f t="shared" si="4"/>
        <v>127843.01641867511</v>
      </c>
      <c r="F49" s="107">
        <f t="shared" si="5"/>
        <v>-7982.5</v>
      </c>
      <c r="G49" s="47">
        <f t="shared" si="6"/>
        <v>335.98596556971916</v>
      </c>
      <c r="H49" s="60">
        <f t="shared" si="7"/>
        <v>120196.50238424483</v>
      </c>
      <c r="J49" s="74">
        <f t="shared" si="0"/>
        <v>21</v>
      </c>
      <c r="K49" s="48">
        <f t="shared" si="8"/>
        <v>121642.17712451369</v>
      </c>
      <c r="L49" s="43">
        <f t="shared" si="12"/>
        <v>-7602.6360702821075</v>
      </c>
      <c r="M49" s="75">
        <f t="shared" si="2"/>
        <v>114039.54105423158</v>
      </c>
      <c r="N49" s="80"/>
      <c r="O49" s="76">
        <f t="shared" si="14"/>
        <v>-164842.5</v>
      </c>
      <c r="P49" s="39">
        <f t="shared" si="14"/>
        <v>11344.10385408892</v>
      </c>
      <c r="Q49" s="88">
        <f t="shared" si="10"/>
        <v>159655.35747592431</v>
      </c>
      <c r="R49" s="87"/>
    </row>
    <row r="50" spans="1:18" x14ac:dyDescent="0.45">
      <c r="A50" s="3">
        <f t="shared" si="13"/>
        <v>7982.5</v>
      </c>
      <c r="B50" s="103">
        <f>A50/((1+$F$16)^($F$12-22))</f>
        <v>7668.4664017771283</v>
      </c>
      <c r="C50" s="19">
        <f t="shared" si="11"/>
        <v>45047</v>
      </c>
      <c r="D50" s="26">
        <f t="shared" si="3"/>
        <v>22</v>
      </c>
      <c r="E50" s="34">
        <f t="shared" si="4"/>
        <v>120196.50238424483</v>
      </c>
      <c r="F50" s="107">
        <f t="shared" si="5"/>
        <v>-7982.5</v>
      </c>
      <c r="G50" s="47">
        <f t="shared" si="6"/>
        <v>314.03359822287166</v>
      </c>
      <c r="H50" s="60">
        <f t="shared" si="7"/>
        <v>112528.0359824677</v>
      </c>
      <c r="J50" s="74">
        <f t="shared" si="0"/>
        <v>22</v>
      </c>
      <c r="K50" s="48">
        <f t="shared" si="8"/>
        <v>114039.54105423158</v>
      </c>
      <c r="L50" s="43">
        <f t="shared" si="12"/>
        <v>-7602.6360702821075</v>
      </c>
      <c r="M50" s="75">
        <f t="shared" si="2"/>
        <v>106436.90498394947</v>
      </c>
      <c r="N50" s="32"/>
      <c r="O50" s="76">
        <f t="shared" si="14"/>
        <v>-172825</v>
      </c>
      <c r="P50" s="39">
        <f t="shared" si="14"/>
        <v>11658.137452311792</v>
      </c>
      <c r="Q50" s="88">
        <f t="shared" si="10"/>
        <v>167257.99354620642</v>
      </c>
      <c r="R50" s="32"/>
    </row>
    <row r="51" spans="1:18" x14ac:dyDescent="0.45">
      <c r="A51" s="3">
        <f t="shared" si="13"/>
        <v>7982.5</v>
      </c>
      <c r="B51" s="103">
        <f>A51/((1+$F$16)^($F$12-23))</f>
        <v>7690.4817921472741</v>
      </c>
      <c r="C51" s="19">
        <f t="shared" si="11"/>
        <v>45078</v>
      </c>
      <c r="D51" s="26">
        <f t="shared" si="3"/>
        <v>23</v>
      </c>
      <c r="E51" s="34">
        <f t="shared" si="4"/>
        <v>112528.0359824677</v>
      </c>
      <c r="F51" s="107">
        <f t="shared" si="5"/>
        <v>-7982.5</v>
      </c>
      <c r="G51" s="47">
        <f t="shared" si="6"/>
        <v>292.01820785272594</v>
      </c>
      <c r="H51" s="60">
        <f t="shared" si="7"/>
        <v>104837.55419032043</v>
      </c>
      <c r="J51" s="74">
        <f t="shared" si="0"/>
        <v>23</v>
      </c>
      <c r="K51" s="48">
        <f t="shared" si="8"/>
        <v>106436.90498394947</v>
      </c>
      <c r="L51" s="43">
        <f t="shared" si="12"/>
        <v>-7602.6360702821075</v>
      </c>
      <c r="M51" s="75">
        <f t="shared" si="2"/>
        <v>98834.268913667358</v>
      </c>
      <c r="N51" s="32"/>
      <c r="O51" s="76">
        <f t="shared" si="14"/>
        <v>-180807.5</v>
      </c>
      <c r="P51" s="39">
        <f t="shared" si="14"/>
        <v>11950.155660164517</v>
      </c>
      <c r="Q51" s="88">
        <f t="shared" si="10"/>
        <v>174860.62961648853</v>
      </c>
      <c r="R51" s="32"/>
    </row>
    <row r="52" spans="1:18" x14ac:dyDescent="0.45">
      <c r="A52" s="3">
        <f t="shared" si="13"/>
        <v>7982.5</v>
      </c>
      <c r="B52" s="103">
        <f>A52/((1+$F$16)^($F$12-24))</f>
        <v>7712.5603864734303</v>
      </c>
      <c r="C52" s="19">
        <f t="shared" si="11"/>
        <v>45108</v>
      </c>
      <c r="D52" s="26">
        <f t="shared" si="3"/>
        <v>24</v>
      </c>
      <c r="E52" s="34">
        <f t="shared" si="4"/>
        <v>104837.55419032043</v>
      </c>
      <c r="F52" s="107">
        <f t="shared" si="5"/>
        <v>-7982.5</v>
      </c>
      <c r="G52" s="47">
        <f t="shared" si="6"/>
        <v>269.9396135265697</v>
      </c>
      <c r="H52" s="60">
        <f t="shared" si="7"/>
        <v>97124.993803846999</v>
      </c>
      <c r="J52" s="74">
        <f t="shared" si="0"/>
        <v>24</v>
      </c>
      <c r="K52" s="48">
        <f t="shared" si="8"/>
        <v>98834.268913667358</v>
      </c>
      <c r="L52" s="43">
        <f t="shared" si="12"/>
        <v>-7602.6360702821075</v>
      </c>
      <c r="M52" s="75">
        <f t="shared" si="2"/>
        <v>91231.632843385247</v>
      </c>
      <c r="N52" s="32"/>
      <c r="O52" s="76">
        <f t="shared" si="14"/>
        <v>-188790</v>
      </c>
      <c r="P52" s="39">
        <f t="shared" si="14"/>
        <v>12220.095273691088</v>
      </c>
      <c r="Q52" s="88">
        <f t="shared" si="10"/>
        <v>182463.26568677064</v>
      </c>
      <c r="R52" s="32"/>
    </row>
    <row r="53" spans="1:18" x14ac:dyDescent="0.45">
      <c r="A53" s="3">
        <f>A52*1.03</f>
        <v>8221.9750000000004</v>
      </c>
      <c r="B53" s="103">
        <f>A53/((1+$F$16)^($F$12-25))</f>
        <v>7966.7434371939917</v>
      </c>
      <c r="C53" s="19">
        <f t="shared" si="11"/>
        <v>45139</v>
      </c>
      <c r="D53" s="26">
        <f t="shared" si="3"/>
        <v>25</v>
      </c>
      <c r="E53" s="34">
        <f t="shared" si="4"/>
        <v>97124.993803846999</v>
      </c>
      <c r="F53" s="107">
        <f t="shared" si="5"/>
        <v>-8221.9750000000004</v>
      </c>
      <c r="G53" s="47">
        <f t="shared" si="6"/>
        <v>255.2315628060087</v>
      </c>
      <c r="H53" s="60">
        <f t="shared" si="7"/>
        <v>89158.250366652996</v>
      </c>
      <c r="J53" s="74">
        <f t="shared" si="0"/>
        <v>25</v>
      </c>
      <c r="K53" s="48">
        <f t="shared" si="8"/>
        <v>91231.632843385247</v>
      </c>
      <c r="L53" s="43">
        <f t="shared" si="12"/>
        <v>-7602.6360702821075</v>
      </c>
      <c r="M53" s="75">
        <f t="shared" si="2"/>
        <v>83628.996773103136</v>
      </c>
      <c r="N53" s="32"/>
      <c r="O53" s="76">
        <f t="shared" si="14"/>
        <v>-197011.97500000001</v>
      </c>
      <c r="P53" s="39">
        <f t="shared" si="14"/>
        <v>12475.326836497097</v>
      </c>
      <c r="Q53" s="88">
        <f t="shared" si="10"/>
        <v>190065.90175705275</v>
      </c>
      <c r="R53" s="32"/>
    </row>
    <row r="54" spans="1:18" x14ac:dyDescent="0.45">
      <c r="A54" s="3">
        <f>A53</f>
        <v>8221.9750000000004</v>
      </c>
      <c r="B54" s="103">
        <f>A54/((1+$F$16)^($F$12-26))</f>
        <v>7989.6151507230434</v>
      </c>
      <c r="C54" s="19">
        <f t="shared" si="11"/>
        <v>45170</v>
      </c>
      <c r="D54" s="26">
        <f t="shared" si="3"/>
        <v>26</v>
      </c>
      <c r="E54" s="34">
        <f t="shared" si="4"/>
        <v>89158.250366652996</v>
      </c>
      <c r="F54" s="107">
        <f t="shared" si="5"/>
        <v>-8221.9750000000004</v>
      </c>
      <c r="G54" s="47">
        <f t="shared" si="6"/>
        <v>232.35984927695699</v>
      </c>
      <c r="H54" s="60">
        <f t="shared" si="7"/>
        <v>81168.635215929942</v>
      </c>
      <c r="J54" s="74">
        <f t="shared" si="0"/>
        <v>26</v>
      </c>
      <c r="K54" s="48">
        <f t="shared" si="8"/>
        <v>83628.996773103136</v>
      </c>
      <c r="L54" s="43">
        <f t="shared" si="12"/>
        <v>-7602.6360702821075</v>
      </c>
      <c r="M54" s="75">
        <f t="shared" si="2"/>
        <v>76026.360702821024</v>
      </c>
      <c r="N54" s="32"/>
      <c r="O54" s="76">
        <f t="shared" si="14"/>
        <v>-205233.95</v>
      </c>
      <c r="P54" s="39">
        <f t="shared" si="14"/>
        <v>12707.686685774053</v>
      </c>
      <c r="Q54" s="88">
        <f t="shared" si="10"/>
        <v>197668.53782733486</v>
      </c>
      <c r="R54" s="32"/>
    </row>
    <row r="55" spans="1:18" x14ac:dyDescent="0.45">
      <c r="A55" s="3">
        <f t="shared" ref="A55:A64" si="15">A54</f>
        <v>8221.9750000000004</v>
      </c>
      <c r="B55" s="103">
        <f>A55/((1+$F$16)^($F$12-27))</f>
        <v>8012.5525266251689</v>
      </c>
      <c r="C55" s="19">
        <f t="shared" si="11"/>
        <v>45200</v>
      </c>
      <c r="D55" s="26">
        <f t="shared" si="3"/>
        <v>27</v>
      </c>
      <c r="E55" s="34">
        <f t="shared" si="4"/>
        <v>81168.635215929942</v>
      </c>
      <c r="F55" s="107">
        <f t="shared" si="5"/>
        <v>-8221.9750000000004</v>
      </c>
      <c r="G55" s="47">
        <f t="shared" si="6"/>
        <v>209.4224733748315</v>
      </c>
      <c r="H55" s="60">
        <f t="shared" si="7"/>
        <v>73156.082689304763</v>
      </c>
      <c r="J55" s="74">
        <f t="shared" si="0"/>
        <v>27</v>
      </c>
      <c r="K55" s="48">
        <f t="shared" si="8"/>
        <v>76026.360702821024</v>
      </c>
      <c r="L55" s="43">
        <f t="shared" si="12"/>
        <v>-7602.6360702821075</v>
      </c>
      <c r="M55" s="75">
        <f t="shared" si="2"/>
        <v>68423.724632538913</v>
      </c>
      <c r="N55" s="32"/>
      <c r="O55" s="76">
        <f t="shared" si="14"/>
        <v>-213455.92500000002</v>
      </c>
      <c r="P55" s="39">
        <f t="shared" si="14"/>
        <v>12917.109159148884</v>
      </c>
      <c r="Q55" s="88">
        <f t="shared" si="10"/>
        <v>205271.17389761697</v>
      </c>
      <c r="R55" s="32"/>
    </row>
    <row r="56" spans="1:18" x14ac:dyDescent="0.45">
      <c r="A56" s="3">
        <f t="shared" si="15"/>
        <v>8221.9750000000004</v>
      </c>
      <c r="B56" s="103">
        <f>A56/((1+$F$16)^($F$12-28))</f>
        <v>8035.5557534103918</v>
      </c>
      <c r="C56" s="19">
        <f t="shared" si="11"/>
        <v>45231</v>
      </c>
      <c r="D56" s="26">
        <f t="shared" si="3"/>
        <v>28</v>
      </c>
      <c r="E56" s="34">
        <f t="shared" si="4"/>
        <v>73156.082689304763</v>
      </c>
      <c r="F56" s="107">
        <f t="shared" si="5"/>
        <v>-8221.9750000000004</v>
      </c>
      <c r="G56" s="47">
        <f t="shared" si="6"/>
        <v>186.41924658960852</v>
      </c>
      <c r="H56" s="60">
        <f t="shared" si="7"/>
        <v>65120.526935894377</v>
      </c>
      <c r="J56" s="74">
        <f t="shared" si="0"/>
        <v>28</v>
      </c>
      <c r="K56" s="48">
        <f t="shared" si="8"/>
        <v>68423.724632538913</v>
      </c>
      <c r="L56" s="43">
        <f t="shared" si="12"/>
        <v>-7602.6360702821075</v>
      </c>
      <c r="M56" s="75">
        <f t="shared" si="2"/>
        <v>60821.088562256802</v>
      </c>
      <c r="N56" s="32"/>
      <c r="O56" s="76">
        <f t="shared" si="14"/>
        <v>-221677.90000000002</v>
      </c>
      <c r="P56" s="39">
        <f t="shared" si="14"/>
        <v>13103.528405738492</v>
      </c>
      <c r="Q56" s="88">
        <f t="shared" si="10"/>
        <v>212873.80996789908</v>
      </c>
      <c r="R56" s="32"/>
    </row>
    <row r="57" spans="1:18" x14ac:dyDescent="0.45">
      <c r="A57" s="3">
        <f t="shared" si="15"/>
        <v>8221.9750000000004</v>
      </c>
      <c r="B57" s="103">
        <f>A57/((1+$F$16)^($F$12-29))</f>
        <v>8058.6250201299263</v>
      </c>
      <c r="C57" s="19">
        <f t="shared" si="11"/>
        <v>45261</v>
      </c>
      <c r="D57" s="26">
        <f t="shared" si="3"/>
        <v>29</v>
      </c>
      <c r="E57" s="34">
        <f t="shared" si="4"/>
        <v>65120.526935894377</v>
      </c>
      <c r="F57" s="107">
        <f t="shared" si="5"/>
        <v>-8221.9750000000004</v>
      </c>
      <c r="G57" s="47">
        <f t="shared" si="6"/>
        <v>163.34997987007409</v>
      </c>
      <c r="H57" s="60">
        <f t="shared" si="7"/>
        <v>57061.901915764451</v>
      </c>
      <c r="J57" s="74">
        <f t="shared" si="0"/>
        <v>29</v>
      </c>
      <c r="K57" s="48">
        <f t="shared" si="8"/>
        <v>60821.088562256802</v>
      </c>
      <c r="L57" s="43">
        <f t="shared" si="12"/>
        <v>-7602.6360702821075</v>
      </c>
      <c r="M57" s="75">
        <f t="shared" si="2"/>
        <v>53218.452491974691</v>
      </c>
      <c r="N57" s="32"/>
      <c r="O57" s="76">
        <f t="shared" si="14"/>
        <v>-229899.87500000003</v>
      </c>
      <c r="P57" s="39">
        <f t="shared" si="14"/>
        <v>13266.878385608567</v>
      </c>
      <c r="Q57" s="88">
        <f t="shared" si="10"/>
        <v>220476.4460381812</v>
      </c>
      <c r="R57" s="32"/>
    </row>
    <row r="58" spans="1:18" x14ac:dyDescent="0.45">
      <c r="A58" s="3">
        <f t="shared" si="15"/>
        <v>8221.9750000000004</v>
      </c>
      <c r="B58" s="103">
        <f>A58/((1+$F$16)^($F$12-30))</f>
        <v>8081.7605163777362</v>
      </c>
      <c r="C58" s="19">
        <f t="shared" si="11"/>
        <v>45292</v>
      </c>
      <c r="D58" s="26">
        <f t="shared" si="3"/>
        <v>30</v>
      </c>
      <c r="E58" s="34">
        <f t="shared" si="4"/>
        <v>57061.901915764451</v>
      </c>
      <c r="F58" s="107">
        <f t="shared" si="5"/>
        <v>-8221.9750000000004</v>
      </c>
      <c r="G58" s="47">
        <f t="shared" si="6"/>
        <v>140.2144836222642</v>
      </c>
      <c r="H58" s="60">
        <f t="shared" si="7"/>
        <v>48980.141399386717</v>
      </c>
      <c r="J58" s="74">
        <f t="shared" si="0"/>
        <v>30</v>
      </c>
      <c r="K58" s="48">
        <f t="shared" si="8"/>
        <v>53218.452491974691</v>
      </c>
      <c r="L58" s="43">
        <f t="shared" si="12"/>
        <v>-7602.6360702821075</v>
      </c>
      <c r="M58" s="75">
        <f t="shared" si="2"/>
        <v>45615.81642169258</v>
      </c>
      <c r="N58" s="32"/>
      <c r="O58" s="76">
        <f t="shared" si="14"/>
        <v>-238121.85000000003</v>
      </c>
      <c r="P58" s="39">
        <f t="shared" si="14"/>
        <v>13407.09286923083</v>
      </c>
      <c r="Q58" s="88">
        <f t="shared" si="10"/>
        <v>228079.08210846331</v>
      </c>
      <c r="R58" s="32"/>
    </row>
    <row r="59" spans="1:18" x14ac:dyDescent="0.45">
      <c r="A59" s="3">
        <f t="shared" si="15"/>
        <v>8221.9750000000004</v>
      </c>
      <c r="B59" s="103">
        <f>A59/((1+$F$16)^($F$12-31))</f>
        <v>8104.962432292089</v>
      </c>
      <c r="C59" s="19">
        <f t="shared" si="11"/>
        <v>45323</v>
      </c>
      <c r="D59" s="26">
        <f t="shared" si="3"/>
        <v>31</v>
      </c>
      <c r="E59" s="34">
        <f t="shared" si="4"/>
        <v>48980.141399386717</v>
      </c>
      <c r="F59" s="107">
        <f t="shared" si="5"/>
        <v>-8221.9750000000004</v>
      </c>
      <c r="G59" s="47">
        <f t="shared" si="6"/>
        <v>117.01256770791133</v>
      </c>
      <c r="H59" s="60">
        <f t="shared" si="7"/>
        <v>40875.178967094631</v>
      </c>
      <c r="J59" s="74">
        <f t="shared" si="0"/>
        <v>31</v>
      </c>
      <c r="K59" s="48">
        <f t="shared" si="8"/>
        <v>45615.81642169258</v>
      </c>
      <c r="L59" s="43">
        <f t="shared" si="12"/>
        <v>-7602.6360702821075</v>
      </c>
      <c r="M59" s="75">
        <f t="shared" si="2"/>
        <v>38013.180351410469</v>
      </c>
      <c r="N59" s="32"/>
      <c r="O59" s="76">
        <f t="shared" si="14"/>
        <v>-246343.82500000004</v>
      </c>
      <c r="P59" s="39">
        <f t="shared" si="14"/>
        <v>13524.105436938742</v>
      </c>
      <c r="Q59" s="88">
        <f t="shared" si="10"/>
        <v>235681.71817874542</v>
      </c>
      <c r="R59" s="32"/>
    </row>
    <row r="60" spans="1:18" x14ac:dyDescent="0.45">
      <c r="A60" s="3">
        <f t="shared" si="15"/>
        <v>8221.9750000000004</v>
      </c>
      <c r="B60" s="103">
        <f>A60/((1+$F$16)^($F$12-32))</f>
        <v>8128.2309585571211</v>
      </c>
      <c r="C60" s="19">
        <f t="shared" si="11"/>
        <v>45352</v>
      </c>
      <c r="D60" s="26">
        <f t="shared" si="3"/>
        <v>32</v>
      </c>
      <c r="E60" s="34">
        <f t="shared" si="4"/>
        <v>40875.178967094631</v>
      </c>
      <c r="F60" s="107">
        <f t="shared" si="5"/>
        <v>-8221.9750000000004</v>
      </c>
      <c r="G60" s="47">
        <f t="shared" si="6"/>
        <v>93.744041442879279</v>
      </c>
      <c r="H60" s="60">
        <f t="shared" si="7"/>
        <v>32746.948008537511</v>
      </c>
      <c r="J60" s="74">
        <f t="shared" si="0"/>
        <v>32</v>
      </c>
      <c r="K60" s="48">
        <f t="shared" si="8"/>
        <v>38013.180351410469</v>
      </c>
      <c r="L60" s="43">
        <f t="shared" si="12"/>
        <v>-7602.6360702821075</v>
      </c>
      <c r="M60" s="75">
        <f t="shared" si="2"/>
        <v>30410.544281128361</v>
      </c>
      <c r="N60" s="32"/>
      <c r="O60" s="76">
        <f t="shared" si="14"/>
        <v>-254565.80000000005</v>
      </c>
      <c r="P60" s="39">
        <f t="shared" si="14"/>
        <v>13617.84947838162</v>
      </c>
      <c r="Q60" s="88">
        <f t="shared" si="10"/>
        <v>243284.35424902753</v>
      </c>
      <c r="R60" s="32"/>
    </row>
    <row r="61" spans="1:18" x14ac:dyDescent="0.45">
      <c r="A61" s="3">
        <f t="shared" si="15"/>
        <v>8221.9750000000004</v>
      </c>
      <c r="B61" s="103">
        <f>A61/((1+$F$16)^($F$12-33))</f>
        <v>8151.5662864044007</v>
      </c>
      <c r="C61" s="19">
        <f t="shared" si="11"/>
        <v>45383</v>
      </c>
      <c r="D61" s="26">
        <f t="shared" si="3"/>
        <v>33</v>
      </c>
      <c r="E61" s="34">
        <f t="shared" si="4"/>
        <v>32746.948008537511</v>
      </c>
      <c r="F61" s="107">
        <f t="shared" si="5"/>
        <v>-8221.9750000000004</v>
      </c>
      <c r="G61" s="47">
        <f t="shared" si="6"/>
        <v>70.408713595599693</v>
      </c>
      <c r="H61" s="60">
        <f t="shared" si="7"/>
        <v>24595.381722133112</v>
      </c>
      <c r="J61" s="74">
        <f t="shared" si="0"/>
        <v>33</v>
      </c>
      <c r="K61" s="48">
        <f t="shared" si="8"/>
        <v>30410.544281128361</v>
      </c>
      <c r="L61" s="43">
        <f t="shared" si="12"/>
        <v>-7602.6360702821075</v>
      </c>
      <c r="M61" s="75">
        <f t="shared" si="2"/>
        <v>22807.908210846253</v>
      </c>
      <c r="N61" s="32"/>
      <c r="O61" s="76">
        <f t="shared" si="14"/>
        <v>-262787.77500000002</v>
      </c>
      <c r="P61" s="39">
        <f t="shared" si="14"/>
        <v>13688.25819197722</v>
      </c>
      <c r="Q61" s="88">
        <f t="shared" si="10"/>
        <v>250886.99031930964</v>
      </c>
      <c r="R61" s="32"/>
    </row>
    <row r="62" spans="1:18" x14ac:dyDescent="0.45">
      <c r="A62" s="3">
        <f t="shared" si="15"/>
        <v>8221.9750000000004</v>
      </c>
      <c r="B62" s="103">
        <f>A62/((1+$F$16)^($F$12-34))</f>
        <v>8174.9686076145081</v>
      </c>
      <c r="C62" s="19">
        <f t="shared" si="11"/>
        <v>45413</v>
      </c>
      <c r="D62" s="26">
        <f t="shared" si="3"/>
        <v>34</v>
      </c>
      <c r="E62" s="34">
        <f t="shared" si="4"/>
        <v>24595.381722133112</v>
      </c>
      <c r="F62" s="107">
        <f t="shared" si="5"/>
        <v>-8221.9750000000004</v>
      </c>
      <c r="G62" s="47">
        <f t="shared" si="6"/>
        <v>47.00639238549229</v>
      </c>
      <c r="H62" s="60">
        <f t="shared" si="7"/>
        <v>16420.413114518604</v>
      </c>
      <c r="J62" s="74">
        <f t="shared" si="0"/>
        <v>34</v>
      </c>
      <c r="K62" s="48">
        <f t="shared" si="8"/>
        <v>22807.908210846253</v>
      </c>
      <c r="L62" s="43">
        <f t="shared" si="12"/>
        <v>-7602.6360702821075</v>
      </c>
      <c r="M62" s="75">
        <f t="shared" si="2"/>
        <v>15205.272140564146</v>
      </c>
      <c r="N62" s="32"/>
      <c r="O62" s="76">
        <f t="shared" ref="O62:P64" si="16">+O61+F62</f>
        <v>-271009.75</v>
      </c>
      <c r="P62" s="39">
        <f t="shared" si="16"/>
        <v>13735.264584362712</v>
      </c>
      <c r="Q62" s="88">
        <f t="shared" si="10"/>
        <v>258489.62638959175</v>
      </c>
      <c r="R62" s="32"/>
    </row>
    <row r="63" spans="1:18" x14ac:dyDescent="0.45">
      <c r="A63" s="3">
        <f t="shared" si="15"/>
        <v>8221.9750000000004</v>
      </c>
      <c r="B63" s="103">
        <f>A63/((1+$F$16)^($F$12-35))</f>
        <v>8198.4381145185998</v>
      </c>
      <c r="C63" s="19">
        <f t="shared" si="11"/>
        <v>45444</v>
      </c>
      <c r="D63" s="26">
        <f t="shared" si="3"/>
        <v>35</v>
      </c>
      <c r="E63" s="34">
        <f t="shared" si="4"/>
        <v>16420.413114518604</v>
      </c>
      <c r="F63" s="107">
        <f t="shared" si="5"/>
        <v>-8221.9750000000004</v>
      </c>
      <c r="G63" s="47">
        <f t="shared" si="6"/>
        <v>23.536885481400532</v>
      </c>
      <c r="H63" s="60">
        <f t="shared" si="7"/>
        <v>8221.975000000004</v>
      </c>
      <c r="J63" s="74">
        <f t="shared" si="0"/>
        <v>35</v>
      </c>
      <c r="K63" s="48">
        <f t="shared" si="8"/>
        <v>15205.272140564146</v>
      </c>
      <c r="L63" s="43">
        <f t="shared" si="12"/>
        <v>-7602.6360702821075</v>
      </c>
      <c r="M63" s="75">
        <f t="shared" si="2"/>
        <v>7602.6360702820384</v>
      </c>
      <c r="N63" s="32"/>
      <c r="O63" s="76">
        <f t="shared" si="16"/>
        <v>-279231.72499999998</v>
      </c>
      <c r="P63" s="39">
        <f t="shared" si="16"/>
        <v>13758.801469844113</v>
      </c>
      <c r="Q63" s="88">
        <f t="shared" si="10"/>
        <v>266092.26245987386</v>
      </c>
      <c r="R63" s="32"/>
    </row>
    <row r="64" spans="1:18" x14ac:dyDescent="0.45">
      <c r="A64" s="3">
        <f t="shared" si="15"/>
        <v>8221.9750000000004</v>
      </c>
      <c r="B64" s="103">
        <f>A64/((1+$F$16)^($F$12-36))</f>
        <v>8221.9750000000004</v>
      </c>
      <c r="C64" s="19">
        <f t="shared" si="11"/>
        <v>45474</v>
      </c>
      <c r="D64" s="26">
        <f t="shared" si="3"/>
        <v>36</v>
      </c>
      <c r="E64" s="34">
        <f t="shared" si="4"/>
        <v>8221.975000000004</v>
      </c>
      <c r="F64" s="107">
        <f t="shared" si="5"/>
        <v>-8221.9750000000004</v>
      </c>
      <c r="G64" s="47">
        <f t="shared" si="6"/>
        <v>0</v>
      </c>
      <c r="H64" s="60">
        <f t="shared" si="7"/>
        <v>3.637978807091713E-12</v>
      </c>
      <c r="J64" s="74">
        <f t="shared" si="0"/>
        <v>36</v>
      </c>
      <c r="K64" s="48">
        <f t="shared" si="8"/>
        <v>7602.6360702820384</v>
      </c>
      <c r="L64" s="43">
        <f t="shared" si="12"/>
        <v>-7602.6360702821075</v>
      </c>
      <c r="M64" s="75">
        <f t="shared" si="2"/>
        <v>-6.9121597334742546E-11</v>
      </c>
      <c r="N64" s="32"/>
      <c r="O64" s="76">
        <f t="shared" si="16"/>
        <v>-287453.69999999995</v>
      </c>
      <c r="P64" s="39">
        <f t="shared" si="16"/>
        <v>13758.801469844113</v>
      </c>
      <c r="Q64" s="88">
        <f t="shared" si="10"/>
        <v>273694.89853015594</v>
      </c>
      <c r="R64" s="32"/>
    </row>
    <row r="65" spans="2:18" x14ac:dyDescent="0.45">
      <c r="B65" s="7"/>
      <c r="C65" s="19">
        <f t="shared" si="11"/>
        <v>45505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45536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45566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45597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45627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45658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45689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45717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45748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45778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45809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45839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45870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45901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45931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45962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45992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46023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46054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46082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46113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46143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46174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46204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46235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46266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46296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46327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46357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46388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7">DATE(YEAR(C94),MONTH(C94)+1,DAY(C94))</f>
        <v>46419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7"/>
        <v>46447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7"/>
        <v>46478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7"/>
        <v>46508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7"/>
        <v>46539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7"/>
        <v>46569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7"/>
        <v>46600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7"/>
        <v>46631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7"/>
        <v>46661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7"/>
        <v>46692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7"/>
        <v>46722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7"/>
        <v>46753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7"/>
        <v>46784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0</v>
      </c>
      <c r="F110" s="43">
        <f>SUM(F29:F107)</f>
        <v>-287453.69999999995</v>
      </c>
      <c r="G110" s="43">
        <f>SUM(G29:G107)</f>
        <v>13758.801469844113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273694.89853015589</v>
      </c>
      <c r="G116" s="119">
        <f>INDEX(M:M,MATCH(DATE(2021,12,DAY(D10)),C:C))</f>
        <v>235681.71817874536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-35252.450718529057</v>
      </c>
      <c r="G119" s="113">
        <f ca="1">IFERROR(SUM(INDIRECT("F"&amp;MATCH(DATE(2022,1,DAY(D10)),C:C)):INDIRECT("G"&amp;MATCH(DATE(2022,1,DAY(D10)),C:C)+11)),VALUE("0"))</f>
        <v>-87790.975966633123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-238442.44781162686</v>
      </c>
      <c r="G123" s="113">
        <f ca="1">IFERROR(SUM(INDIRECT("F"&amp;MATCH(DATE(2023,1,DAY(D10)),C:C)):G107),VALUE("0"))</f>
        <v>-150651.47184499374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-94162.5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-154541.20000000004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CC7BF-7D5D-476E-8E71-9B00F630A246}">
  <dimension ref="B1:R130"/>
  <sheetViews>
    <sheetView topLeftCell="A106"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208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9045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44197</v>
      </c>
      <c r="E10" s="12">
        <f>VLOOKUP($C$2,'Lease Summary'!D:H,4,FALSE)</f>
        <v>45291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25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9045</v>
      </c>
      <c r="G22" s="7" t="s">
        <v>229</v>
      </c>
      <c r="H22" s="53">
        <f>-PV(F16,F12,F22,0,1)</f>
        <v>309824.41227682529</v>
      </c>
      <c r="J22" s="17" t="s">
        <v>234</v>
      </c>
      <c r="K22" s="22"/>
      <c r="L22" s="7"/>
      <c r="M22" s="65">
        <f>H22</f>
        <v>309824.41227682529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44197</v>
      </c>
      <c r="D29" s="27">
        <v>1</v>
      </c>
      <c r="E29" s="33">
        <f>H22</f>
        <v>309824.41227682529</v>
      </c>
      <c r="F29" s="42">
        <f>-D7</f>
        <v>-9045</v>
      </c>
      <c r="G29" s="46">
        <f t="shared" ref="G29:G40" si="0">((E29+F29)*($F$16))</f>
        <v>863.50722943016297</v>
      </c>
      <c r="H29" s="59">
        <f>SUM(E29:G29)</f>
        <v>301642.91950625542</v>
      </c>
      <c r="J29" s="69">
        <f t="shared" ref="J29:J64" si="1">D29</f>
        <v>1</v>
      </c>
      <c r="K29" s="70">
        <f>M22</f>
        <v>309824.41227682529</v>
      </c>
      <c r="L29" s="42">
        <f t="shared" ref="L29:L40" si="2">-$M$22/$F$12</f>
        <v>-8606.2336743562573</v>
      </c>
      <c r="M29" s="71">
        <f t="shared" ref="M29:M64" si="3">K29+L29</f>
        <v>301218.17860246904</v>
      </c>
      <c r="N29" s="32"/>
      <c r="O29" s="72">
        <f>+F29</f>
        <v>-9045</v>
      </c>
      <c r="P29" s="73">
        <f>+G29</f>
        <v>863.50722943016297</v>
      </c>
      <c r="Q29" s="71">
        <f>-L29</f>
        <v>8606.2336743562573</v>
      </c>
      <c r="R29" s="85"/>
    </row>
    <row r="30" spans="2:18" x14ac:dyDescent="0.45">
      <c r="B30" s="7"/>
      <c r="C30" s="19">
        <f>DATE(YEAR(C29),MONTH(C29)+1,DAY(C29))</f>
        <v>44228</v>
      </c>
      <c r="D30" s="26">
        <f t="shared" ref="D30:D64" si="4">D29+1</f>
        <v>2</v>
      </c>
      <c r="E30" s="34">
        <f t="shared" ref="E30:E64" si="5">H29</f>
        <v>301642.91950625542</v>
      </c>
      <c r="F30" s="43">
        <f t="shared" ref="F30:F64" si="6">F29</f>
        <v>-9045</v>
      </c>
      <c r="G30" s="47">
        <f t="shared" si="0"/>
        <v>840.0189923149992</v>
      </c>
      <c r="H30" s="60">
        <f t="shared" ref="H30:H64" si="7">SUM(E30:G30)</f>
        <v>293437.93849857041</v>
      </c>
      <c r="J30" s="74">
        <f t="shared" si="1"/>
        <v>2</v>
      </c>
      <c r="K30" s="48">
        <f t="shared" ref="K30:K64" si="8">M29</f>
        <v>301218.17860246904</v>
      </c>
      <c r="L30" s="43">
        <f t="shared" si="2"/>
        <v>-8606.2336743562573</v>
      </c>
      <c r="M30" s="75">
        <f t="shared" si="3"/>
        <v>292611.94492811279</v>
      </c>
      <c r="N30" s="32"/>
      <c r="O30" s="76">
        <f t="shared" ref="O30:P45" si="9">+O29+F30</f>
        <v>-18090</v>
      </c>
      <c r="P30" s="77">
        <f t="shared" si="9"/>
        <v>1703.5262217451623</v>
      </c>
      <c r="Q30" s="75">
        <f t="shared" ref="Q30:Q64" si="10">+Q29-L30</f>
        <v>17212.467348712515</v>
      </c>
      <c r="R30" s="86"/>
    </row>
    <row r="31" spans="2:18" x14ac:dyDescent="0.45">
      <c r="B31" s="7"/>
      <c r="C31" s="19">
        <f t="shared" ref="C31:C94" si="11">DATE(YEAR(C30),MONTH(C30)+1,DAY(C30))</f>
        <v>44256</v>
      </c>
      <c r="D31" s="26">
        <f t="shared" si="4"/>
        <v>3</v>
      </c>
      <c r="E31" s="34">
        <f t="shared" si="5"/>
        <v>293437.93849857041</v>
      </c>
      <c r="F31" s="43">
        <f t="shared" si="6"/>
        <v>-9045</v>
      </c>
      <c r="G31" s="47">
        <f t="shared" si="0"/>
        <v>816.46332284998812</v>
      </c>
      <c r="H31" s="60">
        <f t="shared" si="7"/>
        <v>285209.40182142041</v>
      </c>
      <c r="J31" s="74">
        <f t="shared" si="1"/>
        <v>3</v>
      </c>
      <c r="K31" s="48">
        <f t="shared" si="8"/>
        <v>292611.94492811279</v>
      </c>
      <c r="L31" s="43">
        <f t="shared" si="2"/>
        <v>-8606.2336743562573</v>
      </c>
      <c r="M31" s="75">
        <f t="shared" si="3"/>
        <v>284005.71125375654</v>
      </c>
      <c r="N31" s="32"/>
      <c r="O31" s="76">
        <f t="shared" si="9"/>
        <v>-27135</v>
      </c>
      <c r="P31" s="39">
        <f t="shared" si="9"/>
        <v>2519.9895445951506</v>
      </c>
      <c r="Q31" s="88">
        <f t="shared" si="10"/>
        <v>25818.701023068774</v>
      </c>
      <c r="R31" s="86"/>
    </row>
    <row r="32" spans="2:18" x14ac:dyDescent="0.45">
      <c r="B32" s="7"/>
      <c r="C32" s="19">
        <f t="shared" si="11"/>
        <v>44287</v>
      </c>
      <c r="D32" s="26">
        <f t="shared" si="4"/>
        <v>4</v>
      </c>
      <c r="E32" s="34">
        <f t="shared" si="5"/>
        <v>285209.40182142041</v>
      </c>
      <c r="F32" s="43">
        <f t="shared" si="6"/>
        <v>-9045</v>
      </c>
      <c r="G32" s="47">
        <f t="shared" si="0"/>
        <v>792.84002744368297</v>
      </c>
      <c r="H32" s="60">
        <f t="shared" si="7"/>
        <v>276957.24184886407</v>
      </c>
      <c r="J32" s="74">
        <f t="shared" si="1"/>
        <v>4</v>
      </c>
      <c r="K32" s="48">
        <f t="shared" si="8"/>
        <v>284005.71125375654</v>
      </c>
      <c r="L32" s="43">
        <f t="shared" si="2"/>
        <v>-8606.2336743562573</v>
      </c>
      <c r="M32" s="75">
        <f t="shared" si="3"/>
        <v>275399.47757940029</v>
      </c>
      <c r="N32" s="32"/>
      <c r="O32" s="76">
        <f t="shared" si="9"/>
        <v>-36180</v>
      </c>
      <c r="P32" s="39">
        <f t="shared" si="9"/>
        <v>3312.8295720388337</v>
      </c>
      <c r="Q32" s="88">
        <f t="shared" si="10"/>
        <v>34424.934697425029</v>
      </c>
      <c r="R32" s="86"/>
    </row>
    <row r="33" spans="2:18" x14ac:dyDescent="0.45">
      <c r="B33" s="7"/>
      <c r="C33" s="19">
        <f t="shared" si="11"/>
        <v>44317</v>
      </c>
      <c r="D33" s="26">
        <f t="shared" si="4"/>
        <v>5</v>
      </c>
      <c r="E33" s="34">
        <f t="shared" si="5"/>
        <v>276957.24184886407</v>
      </c>
      <c r="F33" s="43">
        <f t="shared" si="6"/>
        <v>-9045</v>
      </c>
      <c r="G33" s="47">
        <f t="shared" si="0"/>
        <v>769.14891194885547</v>
      </c>
      <c r="H33" s="60">
        <f t="shared" si="7"/>
        <v>268681.39076081291</v>
      </c>
      <c r="J33" s="74">
        <f t="shared" si="1"/>
        <v>5</v>
      </c>
      <c r="K33" s="48">
        <f t="shared" si="8"/>
        <v>275399.47757940029</v>
      </c>
      <c r="L33" s="43">
        <f t="shared" si="2"/>
        <v>-8606.2336743562573</v>
      </c>
      <c r="M33" s="75">
        <f t="shared" si="3"/>
        <v>266793.24390504404</v>
      </c>
      <c r="N33" s="32"/>
      <c r="O33" s="76">
        <f t="shared" si="9"/>
        <v>-45225</v>
      </c>
      <c r="P33" s="39">
        <f t="shared" si="9"/>
        <v>4081.9784839876893</v>
      </c>
      <c r="Q33" s="88">
        <f t="shared" si="10"/>
        <v>43031.168371781285</v>
      </c>
      <c r="R33" s="86"/>
    </row>
    <row r="34" spans="2:18" x14ac:dyDescent="0.45">
      <c r="B34" s="7"/>
      <c r="C34" s="19">
        <f t="shared" si="11"/>
        <v>44348</v>
      </c>
      <c r="D34" s="26">
        <f t="shared" si="4"/>
        <v>6</v>
      </c>
      <c r="E34" s="34">
        <f t="shared" si="5"/>
        <v>268681.39076081291</v>
      </c>
      <c r="F34" s="43">
        <f t="shared" si="6"/>
        <v>-9045</v>
      </c>
      <c r="G34" s="47">
        <f t="shared" si="0"/>
        <v>745.38978166090033</v>
      </c>
      <c r="H34" s="60">
        <f t="shared" si="7"/>
        <v>260381.7805424738</v>
      </c>
      <c r="J34" s="74">
        <f t="shared" si="1"/>
        <v>6</v>
      </c>
      <c r="K34" s="48">
        <f t="shared" si="8"/>
        <v>266793.24390504404</v>
      </c>
      <c r="L34" s="43">
        <f t="shared" si="2"/>
        <v>-8606.2336743562573</v>
      </c>
      <c r="M34" s="75">
        <f t="shared" si="3"/>
        <v>258187.0102306878</v>
      </c>
      <c r="N34" s="32"/>
      <c r="O34" s="76">
        <f t="shared" si="9"/>
        <v>-54270</v>
      </c>
      <c r="P34" s="39">
        <f t="shared" si="9"/>
        <v>4827.3682656485898</v>
      </c>
      <c r="Q34" s="88">
        <f t="shared" si="10"/>
        <v>51637.40204613754</v>
      </c>
      <c r="R34" s="86"/>
    </row>
    <row r="35" spans="2:18" x14ac:dyDescent="0.45">
      <c r="B35" s="7"/>
      <c r="C35" s="19">
        <f t="shared" si="11"/>
        <v>44378</v>
      </c>
      <c r="D35" s="26">
        <f t="shared" si="4"/>
        <v>7</v>
      </c>
      <c r="E35" s="34">
        <f t="shared" si="5"/>
        <v>260381.7805424738</v>
      </c>
      <c r="F35" s="43">
        <f t="shared" si="6"/>
        <v>-9045</v>
      </c>
      <c r="G35" s="47">
        <f t="shared" si="0"/>
        <v>721.56244131623521</v>
      </c>
      <c r="H35" s="60">
        <f t="shared" si="7"/>
        <v>252058.34298379003</v>
      </c>
      <c r="J35" s="74">
        <f t="shared" si="1"/>
        <v>7</v>
      </c>
      <c r="K35" s="48">
        <f t="shared" si="8"/>
        <v>258187.0102306878</v>
      </c>
      <c r="L35" s="43">
        <f t="shared" si="2"/>
        <v>-8606.2336743562573</v>
      </c>
      <c r="M35" s="75">
        <f t="shared" si="3"/>
        <v>249580.77655633155</v>
      </c>
      <c r="N35" s="32"/>
      <c r="O35" s="76">
        <f t="shared" si="9"/>
        <v>-63315</v>
      </c>
      <c r="P35" s="39">
        <f t="shared" si="9"/>
        <v>5548.9307069648248</v>
      </c>
      <c r="Q35" s="88">
        <f t="shared" si="10"/>
        <v>60243.635720493796</v>
      </c>
      <c r="R35" s="86"/>
    </row>
    <row r="36" spans="2:18" x14ac:dyDescent="0.45">
      <c r="B36" s="7"/>
      <c r="C36" s="19">
        <f t="shared" si="11"/>
        <v>44409</v>
      </c>
      <c r="D36" s="26">
        <f t="shared" si="4"/>
        <v>8</v>
      </c>
      <c r="E36" s="34">
        <f t="shared" si="5"/>
        <v>252058.34298379003</v>
      </c>
      <c r="F36" s="43">
        <f t="shared" si="6"/>
        <v>-9045</v>
      </c>
      <c r="G36" s="47">
        <f t="shared" si="0"/>
        <v>697.6666950906955</v>
      </c>
      <c r="H36" s="60">
        <f t="shared" si="7"/>
        <v>243711.00967888074</v>
      </c>
      <c r="J36" s="74">
        <f t="shared" si="1"/>
        <v>8</v>
      </c>
      <c r="K36" s="48">
        <f t="shared" si="8"/>
        <v>249580.77655633155</v>
      </c>
      <c r="L36" s="43">
        <f t="shared" si="2"/>
        <v>-8606.2336743562573</v>
      </c>
      <c r="M36" s="75">
        <f t="shared" si="3"/>
        <v>240974.5428819753</v>
      </c>
      <c r="N36" s="32"/>
      <c r="O36" s="76">
        <f t="shared" si="9"/>
        <v>-72360</v>
      </c>
      <c r="P36" s="39">
        <f t="shared" si="9"/>
        <v>6246.5974020555204</v>
      </c>
      <c r="Q36" s="88">
        <f t="shared" si="10"/>
        <v>68849.869394850059</v>
      </c>
      <c r="R36" s="86"/>
    </row>
    <row r="37" spans="2:18" x14ac:dyDescent="0.45">
      <c r="B37" s="7"/>
      <c r="C37" s="19">
        <f t="shared" si="11"/>
        <v>44440</v>
      </c>
      <c r="D37" s="26">
        <f t="shared" si="4"/>
        <v>9</v>
      </c>
      <c r="E37" s="34">
        <f t="shared" si="5"/>
        <v>243711.00967888074</v>
      </c>
      <c r="F37" s="43">
        <f t="shared" si="6"/>
        <v>-9045</v>
      </c>
      <c r="G37" s="47">
        <f t="shared" si="0"/>
        <v>673.70234659792561</v>
      </c>
      <c r="H37" s="60">
        <f t="shared" si="7"/>
        <v>235339.71202547866</v>
      </c>
      <c r="J37" s="74">
        <f t="shared" si="1"/>
        <v>9</v>
      </c>
      <c r="K37" s="48">
        <f t="shared" si="8"/>
        <v>240974.5428819753</v>
      </c>
      <c r="L37" s="43">
        <f t="shared" si="2"/>
        <v>-8606.2336743562573</v>
      </c>
      <c r="M37" s="75">
        <f t="shared" si="3"/>
        <v>232368.30920761905</v>
      </c>
      <c r="N37" s="32"/>
      <c r="O37" s="76">
        <f t="shared" si="9"/>
        <v>-81405</v>
      </c>
      <c r="P37" s="39">
        <f t="shared" si="9"/>
        <v>6920.2997486534459</v>
      </c>
      <c r="Q37" s="88">
        <f t="shared" si="10"/>
        <v>77456.103069206321</v>
      </c>
      <c r="R37" s="86"/>
    </row>
    <row r="38" spans="2:18" x14ac:dyDescent="0.45">
      <c r="B38" s="7"/>
      <c r="C38" s="19">
        <f t="shared" si="11"/>
        <v>44470</v>
      </c>
      <c r="D38" s="26">
        <f t="shared" si="4"/>
        <v>10</v>
      </c>
      <c r="E38" s="34">
        <f t="shared" si="5"/>
        <v>235339.71202547866</v>
      </c>
      <c r="F38" s="43">
        <f t="shared" si="6"/>
        <v>-9045</v>
      </c>
      <c r="G38" s="47">
        <f t="shared" si="0"/>
        <v>649.66919888776431</v>
      </c>
      <c r="H38" s="60">
        <f t="shared" si="7"/>
        <v>226944.38122436643</v>
      </c>
      <c r="J38" s="74">
        <f t="shared" si="1"/>
        <v>10</v>
      </c>
      <c r="K38" s="48">
        <f t="shared" si="8"/>
        <v>232368.30920761905</v>
      </c>
      <c r="L38" s="43">
        <f t="shared" si="2"/>
        <v>-8606.2336743562573</v>
      </c>
      <c r="M38" s="75">
        <f t="shared" si="3"/>
        <v>223762.0755332628</v>
      </c>
      <c r="N38" s="32"/>
      <c r="O38" s="76">
        <f t="shared" si="9"/>
        <v>-90450</v>
      </c>
      <c r="P38" s="39">
        <f t="shared" si="9"/>
        <v>7569.9689475412106</v>
      </c>
      <c r="Q38" s="88">
        <f t="shared" si="10"/>
        <v>86062.336743562584</v>
      </c>
      <c r="R38" s="87"/>
    </row>
    <row r="39" spans="2:18" x14ac:dyDescent="0.45">
      <c r="B39" s="7"/>
      <c r="C39" s="19">
        <f t="shared" si="11"/>
        <v>44501</v>
      </c>
      <c r="D39" s="26">
        <f t="shared" si="4"/>
        <v>11</v>
      </c>
      <c r="E39" s="34">
        <f t="shared" si="5"/>
        <v>226944.38122436643</v>
      </c>
      <c r="F39" s="43">
        <f t="shared" si="6"/>
        <v>-9045</v>
      </c>
      <c r="G39" s="47">
        <f t="shared" si="0"/>
        <v>625.56705444462648</v>
      </c>
      <c r="H39" s="60">
        <f t="shared" si="7"/>
        <v>218524.94827881106</v>
      </c>
      <c r="J39" s="74">
        <f t="shared" si="1"/>
        <v>11</v>
      </c>
      <c r="K39" s="48">
        <f t="shared" si="8"/>
        <v>223762.0755332628</v>
      </c>
      <c r="L39" s="43">
        <f t="shared" si="2"/>
        <v>-8606.2336743562573</v>
      </c>
      <c r="M39" s="75">
        <f t="shared" si="3"/>
        <v>215155.84185890655</v>
      </c>
      <c r="N39" s="32"/>
      <c r="O39" s="76">
        <f t="shared" si="9"/>
        <v>-99495</v>
      </c>
      <c r="P39" s="39">
        <f t="shared" si="9"/>
        <v>8195.5360019858363</v>
      </c>
      <c r="Q39" s="88">
        <f t="shared" si="10"/>
        <v>94668.570417918847</v>
      </c>
      <c r="R39" s="87"/>
    </row>
    <row r="40" spans="2:18" x14ac:dyDescent="0.45">
      <c r="B40" s="7"/>
      <c r="C40" s="19">
        <f t="shared" si="11"/>
        <v>44531</v>
      </c>
      <c r="D40" s="26">
        <f t="shared" si="4"/>
        <v>12</v>
      </c>
      <c r="E40" s="34">
        <f t="shared" si="5"/>
        <v>218524.94827881106</v>
      </c>
      <c r="F40" s="43">
        <f t="shared" si="6"/>
        <v>-9045</v>
      </c>
      <c r="G40" s="47">
        <f t="shared" si="0"/>
        <v>601.39571518587991</v>
      </c>
      <c r="H40" s="60">
        <f t="shared" si="7"/>
        <v>210081.34399399694</v>
      </c>
      <c r="J40" s="74">
        <f t="shared" si="1"/>
        <v>12</v>
      </c>
      <c r="K40" s="48">
        <f t="shared" si="8"/>
        <v>215155.84185890655</v>
      </c>
      <c r="L40" s="43">
        <f t="shared" si="2"/>
        <v>-8606.2336743562573</v>
      </c>
      <c r="M40" s="75">
        <f t="shared" si="3"/>
        <v>206549.60818455031</v>
      </c>
      <c r="N40" s="32"/>
      <c r="O40" s="76">
        <f t="shared" si="9"/>
        <v>-108540</v>
      </c>
      <c r="P40" s="39">
        <f t="shared" si="9"/>
        <v>8796.9317171717157</v>
      </c>
      <c r="Q40" s="88">
        <f t="shared" si="10"/>
        <v>103274.80409227511</v>
      </c>
      <c r="R40" s="87"/>
    </row>
    <row r="41" spans="2:18" x14ac:dyDescent="0.45">
      <c r="B41" s="7"/>
      <c r="C41" s="19">
        <f t="shared" si="11"/>
        <v>44562</v>
      </c>
      <c r="D41" s="26">
        <f t="shared" si="4"/>
        <v>13</v>
      </c>
      <c r="E41" s="34">
        <f t="shared" si="5"/>
        <v>210081.34399399694</v>
      </c>
      <c r="F41" s="43">
        <f t="shared" si="6"/>
        <v>-9045</v>
      </c>
      <c r="G41" s="47">
        <f t="shared" ref="G41:G64" si="12">((E41+F41)*($F$16))</f>
        <v>577.15498246021707</v>
      </c>
      <c r="H41" s="60">
        <f t="shared" si="7"/>
        <v>201613.49897645717</v>
      </c>
      <c r="J41" s="74">
        <f t="shared" si="1"/>
        <v>13</v>
      </c>
      <c r="K41" s="48">
        <f t="shared" si="8"/>
        <v>206549.60818455031</v>
      </c>
      <c r="L41" s="43">
        <f t="shared" ref="L41:L64" si="13">-$M$22/$F$12</f>
        <v>-8606.2336743562573</v>
      </c>
      <c r="M41" s="75">
        <f t="shared" si="3"/>
        <v>197943.37451019406</v>
      </c>
      <c r="N41" s="32"/>
      <c r="O41" s="76">
        <f t="shared" si="9"/>
        <v>-117585</v>
      </c>
      <c r="P41" s="39">
        <f t="shared" si="9"/>
        <v>9374.0866996319328</v>
      </c>
      <c r="Q41" s="88">
        <f t="shared" si="10"/>
        <v>111881.03776663137</v>
      </c>
      <c r="R41" s="87"/>
    </row>
    <row r="42" spans="2:18" x14ac:dyDescent="0.45">
      <c r="B42" s="7"/>
      <c r="C42" s="19">
        <f t="shared" si="11"/>
        <v>44593</v>
      </c>
      <c r="D42" s="26">
        <f t="shared" si="4"/>
        <v>14</v>
      </c>
      <c r="E42" s="34">
        <f t="shared" si="5"/>
        <v>201613.49897645717</v>
      </c>
      <c r="F42" s="43">
        <f t="shared" si="6"/>
        <v>-9045</v>
      </c>
      <c r="G42" s="47">
        <f t="shared" si="12"/>
        <v>552.84465704602258</v>
      </c>
      <c r="H42" s="60">
        <f t="shared" si="7"/>
        <v>193121.34363350319</v>
      </c>
      <c r="J42" s="74">
        <f t="shared" si="1"/>
        <v>14</v>
      </c>
      <c r="K42" s="48">
        <f t="shared" si="8"/>
        <v>197943.37451019406</v>
      </c>
      <c r="L42" s="43">
        <f t="shared" si="13"/>
        <v>-8606.2336743562573</v>
      </c>
      <c r="M42" s="75">
        <f t="shared" si="3"/>
        <v>189337.14083583781</v>
      </c>
      <c r="N42" s="32"/>
      <c r="O42" s="76">
        <f t="shared" si="9"/>
        <v>-126630</v>
      </c>
      <c r="P42" s="39">
        <f t="shared" si="9"/>
        <v>9926.9313566779547</v>
      </c>
      <c r="Q42" s="88">
        <f t="shared" si="10"/>
        <v>120487.27144098764</v>
      </c>
      <c r="R42" s="87"/>
    </row>
    <row r="43" spans="2:18" x14ac:dyDescent="0.45">
      <c r="B43" s="7"/>
      <c r="C43" s="19">
        <f t="shared" si="11"/>
        <v>44621</v>
      </c>
      <c r="D43" s="26">
        <f t="shared" si="4"/>
        <v>15</v>
      </c>
      <c r="E43" s="34">
        <f t="shared" si="5"/>
        <v>193121.34363350319</v>
      </c>
      <c r="F43" s="43">
        <f t="shared" si="6"/>
        <v>-9045</v>
      </c>
      <c r="G43" s="47">
        <f t="shared" si="12"/>
        <v>528.46453914973608</v>
      </c>
      <c r="H43" s="60">
        <f t="shared" si="7"/>
        <v>184604.80817265293</v>
      </c>
      <c r="J43" s="74">
        <f t="shared" si="1"/>
        <v>15</v>
      </c>
      <c r="K43" s="48">
        <f t="shared" si="8"/>
        <v>189337.14083583781</v>
      </c>
      <c r="L43" s="43">
        <f t="shared" si="13"/>
        <v>-8606.2336743562573</v>
      </c>
      <c r="M43" s="75">
        <f t="shared" si="3"/>
        <v>180730.90716148156</v>
      </c>
      <c r="N43" s="32"/>
      <c r="O43" s="76">
        <f t="shared" si="9"/>
        <v>-135675</v>
      </c>
      <c r="P43" s="39">
        <f t="shared" si="9"/>
        <v>10455.395895827691</v>
      </c>
      <c r="Q43" s="88">
        <f t="shared" si="10"/>
        <v>129093.5051153439</v>
      </c>
      <c r="R43" s="87"/>
    </row>
    <row r="44" spans="2:18" x14ac:dyDescent="0.45">
      <c r="B44" s="7"/>
      <c r="C44" s="19">
        <f t="shared" si="11"/>
        <v>44652</v>
      </c>
      <c r="D44" s="26">
        <f t="shared" si="4"/>
        <v>16</v>
      </c>
      <c r="E44" s="34">
        <f t="shared" si="5"/>
        <v>184604.80817265293</v>
      </c>
      <c r="F44" s="43">
        <f t="shared" si="6"/>
        <v>-9045</v>
      </c>
      <c r="G44" s="47">
        <f t="shared" si="12"/>
        <v>504.01442840421032</v>
      </c>
      <c r="H44" s="60">
        <f t="shared" si="7"/>
        <v>176063.82260105715</v>
      </c>
      <c r="J44" s="74">
        <f t="shared" si="1"/>
        <v>16</v>
      </c>
      <c r="K44" s="48">
        <f t="shared" si="8"/>
        <v>180730.90716148156</v>
      </c>
      <c r="L44" s="43">
        <f t="shared" si="13"/>
        <v>-8606.2336743562573</v>
      </c>
      <c r="M44" s="75">
        <f t="shared" si="3"/>
        <v>172124.67348712531</v>
      </c>
      <c r="N44" s="32"/>
      <c r="O44" s="76">
        <f t="shared" si="9"/>
        <v>-144720</v>
      </c>
      <c r="P44" s="39">
        <f t="shared" si="9"/>
        <v>10959.410324231902</v>
      </c>
      <c r="Q44" s="88">
        <f t="shared" si="10"/>
        <v>137699.73878970015</v>
      </c>
      <c r="R44" s="87"/>
    </row>
    <row r="45" spans="2:18" x14ac:dyDescent="0.45">
      <c r="B45" s="7"/>
      <c r="C45" s="19">
        <f t="shared" si="11"/>
        <v>44682</v>
      </c>
      <c r="D45" s="26">
        <f t="shared" si="4"/>
        <v>17</v>
      </c>
      <c r="E45" s="34">
        <f t="shared" si="5"/>
        <v>176063.82260105715</v>
      </c>
      <c r="F45" s="43">
        <f t="shared" si="6"/>
        <v>-9045</v>
      </c>
      <c r="G45" s="47">
        <f t="shared" si="12"/>
        <v>479.49412386706393</v>
      </c>
      <c r="H45" s="60">
        <f t="shared" si="7"/>
        <v>167498.31672492423</v>
      </c>
      <c r="J45" s="74">
        <f t="shared" si="1"/>
        <v>17</v>
      </c>
      <c r="K45" s="48">
        <f t="shared" si="8"/>
        <v>172124.67348712531</v>
      </c>
      <c r="L45" s="43">
        <f t="shared" si="13"/>
        <v>-8606.2336743562573</v>
      </c>
      <c r="M45" s="75">
        <f t="shared" si="3"/>
        <v>163518.43981276907</v>
      </c>
      <c r="N45" s="32"/>
      <c r="O45" s="76">
        <f t="shared" si="9"/>
        <v>-153765</v>
      </c>
      <c r="P45" s="39">
        <f t="shared" si="9"/>
        <v>11438.904448098965</v>
      </c>
      <c r="Q45" s="88">
        <f t="shared" si="10"/>
        <v>146305.97246405639</v>
      </c>
      <c r="R45" s="87"/>
    </row>
    <row r="46" spans="2:18" x14ac:dyDescent="0.45">
      <c r="B46" s="7"/>
      <c r="C46" s="19">
        <f t="shared" si="11"/>
        <v>44713</v>
      </c>
      <c r="D46" s="26">
        <f t="shared" si="4"/>
        <v>18</v>
      </c>
      <c r="E46" s="34">
        <f t="shared" si="5"/>
        <v>167498.31672492423</v>
      </c>
      <c r="F46" s="43">
        <f t="shared" si="6"/>
        <v>-9045</v>
      </c>
      <c r="G46" s="47">
        <f t="shared" si="12"/>
        <v>454.90342401903047</v>
      </c>
      <c r="H46" s="60">
        <f t="shared" si="7"/>
        <v>158908.22014894325</v>
      </c>
      <c r="J46" s="74">
        <f t="shared" si="1"/>
        <v>18</v>
      </c>
      <c r="K46" s="48">
        <f t="shared" si="8"/>
        <v>163518.43981276907</v>
      </c>
      <c r="L46" s="43">
        <f t="shared" si="13"/>
        <v>-8606.2336743562573</v>
      </c>
      <c r="M46" s="75">
        <f t="shared" si="3"/>
        <v>154912.20613841282</v>
      </c>
      <c r="N46" s="32"/>
      <c r="O46" s="76">
        <f t="shared" ref="O46:P61" si="14">+O45+F46</f>
        <v>-162810</v>
      </c>
      <c r="P46" s="39">
        <f t="shared" si="14"/>
        <v>11893.807872117995</v>
      </c>
      <c r="Q46" s="88">
        <f t="shared" si="10"/>
        <v>154912.20613841264</v>
      </c>
      <c r="R46" s="87"/>
    </row>
    <row r="47" spans="2:18" x14ac:dyDescent="0.45">
      <c r="B47" s="7"/>
      <c r="C47" s="19">
        <f t="shared" si="11"/>
        <v>44743</v>
      </c>
      <c r="D47" s="26">
        <f t="shared" si="4"/>
        <v>19</v>
      </c>
      <c r="E47" s="34">
        <f t="shared" si="5"/>
        <v>158908.22014894325</v>
      </c>
      <c r="F47" s="43">
        <f t="shared" si="6"/>
        <v>-9045</v>
      </c>
      <c r="G47" s="47">
        <f t="shared" si="12"/>
        <v>430.24212676230201</v>
      </c>
      <c r="H47" s="60">
        <f t="shared" si="7"/>
        <v>150293.46227570556</v>
      </c>
      <c r="J47" s="74">
        <f t="shared" si="1"/>
        <v>19</v>
      </c>
      <c r="K47" s="48">
        <f t="shared" si="8"/>
        <v>154912.20613841282</v>
      </c>
      <c r="L47" s="43">
        <f t="shared" si="13"/>
        <v>-8606.2336743562573</v>
      </c>
      <c r="M47" s="75">
        <f t="shared" si="3"/>
        <v>146305.97246405657</v>
      </c>
      <c r="N47" s="32"/>
      <c r="O47" s="76">
        <f t="shared" si="14"/>
        <v>-171855</v>
      </c>
      <c r="P47" s="39">
        <f t="shared" si="14"/>
        <v>12324.049998880297</v>
      </c>
      <c r="Q47" s="88">
        <f t="shared" si="10"/>
        <v>163518.43981276889</v>
      </c>
      <c r="R47" s="87"/>
    </row>
    <row r="48" spans="2:18" x14ac:dyDescent="0.45">
      <c r="B48" s="7"/>
      <c r="C48" s="19">
        <f t="shared" si="11"/>
        <v>44774</v>
      </c>
      <c r="D48" s="26">
        <f t="shared" si="4"/>
        <v>20</v>
      </c>
      <c r="E48" s="34">
        <f t="shared" si="5"/>
        <v>150293.46227570556</v>
      </c>
      <c r="F48" s="43">
        <f t="shared" si="6"/>
        <v>-9045</v>
      </c>
      <c r="G48" s="47">
        <f t="shared" si="12"/>
        <v>405.5100294188685</v>
      </c>
      <c r="H48" s="60">
        <f t="shared" si="7"/>
        <v>141653.97230512442</v>
      </c>
      <c r="J48" s="74">
        <f t="shared" si="1"/>
        <v>20</v>
      </c>
      <c r="K48" s="48">
        <f t="shared" si="8"/>
        <v>146305.97246405657</v>
      </c>
      <c r="L48" s="43">
        <f t="shared" si="13"/>
        <v>-8606.2336743562573</v>
      </c>
      <c r="M48" s="75">
        <f t="shared" si="3"/>
        <v>137699.73878970032</v>
      </c>
      <c r="N48" s="32"/>
      <c r="O48" s="76">
        <f t="shared" si="14"/>
        <v>-180900</v>
      </c>
      <c r="P48" s="39">
        <f t="shared" si="14"/>
        <v>12729.560028299165</v>
      </c>
      <c r="Q48" s="88">
        <f t="shared" si="10"/>
        <v>172124.67348712514</v>
      </c>
      <c r="R48" s="87"/>
    </row>
    <row r="49" spans="2:18" x14ac:dyDescent="0.45">
      <c r="B49" s="7"/>
      <c r="C49" s="19">
        <f t="shared" si="11"/>
        <v>44805</v>
      </c>
      <c r="D49" s="26">
        <f t="shared" si="4"/>
        <v>21</v>
      </c>
      <c r="E49" s="34">
        <f t="shared" si="5"/>
        <v>141653.97230512442</v>
      </c>
      <c r="F49" s="43">
        <f t="shared" si="6"/>
        <v>-9045</v>
      </c>
      <c r="G49" s="47">
        <f t="shared" si="12"/>
        <v>380.70692872885161</v>
      </c>
      <c r="H49" s="60">
        <f t="shared" si="7"/>
        <v>132989.67923385327</v>
      </c>
      <c r="J49" s="74">
        <f t="shared" si="1"/>
        <v>21</v>
      </c>
      <c r="K49" s="48">
        <f t="shared" si="8"/>
        <v>137699.73878970032</v>
      </c>
      <c r="L49" s="43">
        <f t="shared" si="13"/>
        <v>-8606.2336743562573</v>
      </c>
      <c r="M49" s="75">
        <f t="shared" si="3"/>
        <v>129093.50511534406</v>
      </c>
      <c r="N49" s="80"/>
      <c r="O49" s="76">
        <f t="shared" si="14"/>
        <v>-189945</v>
      </c>
      <c r="P49" s="39">
        <f t="shared" si="14"/>
        <v>13110.266957028018</v>
      </c>
      <c r="Q49" s="88">
        <f t="shared" si="10"/>
        <v>180730.90716148139</v>
      </c>
      <c r="R49" s="87"/>
    </row>
    <row r="50" spans="2:18" x14ac:dyDescent="0.45">
      <c r="B50" s="7"/>
      <c r="C50" s="19">
        <f t="shared" si="11"/>
        <v>44835</v>
      </c>
      <c r="D50" s="26">
        <f t="shared" si="4"/>
        <v>22</v>
      </c>
      <c r="E50" s="34">
        <f t="shared" si="5"/>
        <v>132989.67923385327</v>
      </c>
      <c r="F50" s="43">
        <f t="shared" si="6"/>
        <v>-9045</v>
      </c>
      <c r="G50" s="47">
        <f t="shared" si="12"/>
        <v>355.83262084883467</v>
      </c>
      <c r="H50" s="60">
        <f t="shared" si="7"/>
        <v>124300.5118547021</v>
      </c>
      <c r="J50" s="74">
        <f t="shared" si="1"/>
        <v>22</v>
      </c>
      <c r="K50" s="48">
        <f t="shared" si="8"/>
        <v>129093.50511534406</v>
      </c>
      <c r="L50" s="43">
        <f t="shared" si="13"/>
        <v>-8606.2336743562573</v>
      </c>
      <c r="M50" s="75">
        <f t="shared" si="3"/>
        <v>120487.2714409878</v>
      </c>
      <c r="N50" s="32"/>
      <c r="O50" s="76">
        <f t="shared" si="14"/>
        <v>-198990</v>
      </c>
      <c r="P50" s="39">
        <f t="shared" si="14"/>
        <v>13466.099577876852</v>
      </c>
      <c r="Q50" s="88">
        <f t="shared" si="10"/>
        <v>189337.14083583764</v>
      </c>
      <c r="R50" s="32"/>
    </row>
    <row r="51" spans="2:18" x14ac:dyDescent="0.45">
      <c r="B51" s="7"/>
      <c r="C51" s="19">
        <f t="shared" si="11"/>
        <v>44866</v>
      </c>
      <c r="D51" s="26">
        <f t="shared" si="4"/>
        <v>23</v>
      </c>
      <c r="E51" s="34">
        <f t="shared" si="5"/>
        <v>124300.5118547021</v>
      </c>
      <c r="F51" s="43">
        <f t="shared" si="6"/>
        <v>-9045</v>
      </c>
      <c r="G51" s="47">
        <f t="shared" si="12"/>
        <v>330.88690135018697</v>
      </c>
      <c r="H51" s="60">
        <f t="shared" si="7"/>
        <v>115586.39875605228</v>
      </c>
      <c r="J51" s="74">
        <f t="shared" si="1"/>
        <v>23</v>
      </c>
      <c r="K51" s="48">
        <f t="shared" si="8"/>
        <v>120487.2714409878</v>
      </c>
      <c r="L51" s="43">
        <f t="shared" si="13"/>
        <v>-8606.2336743562573</v>
      </c>
      <c r="M51" s="75">
        <f t="shared" si="3"/>
        <v>111881.03776663153</v>
      </c>
      <c r="N51" s="32"/>
      <c r="O51" s="76">
        <f t="shared" si="14"/>
        <v>-208035</v>
      </c>
      <c r="P51" s="39">
        <f t="shared" si="14"/>
        <v>13796.986479227038</v>
      </c>
      <c r="Q51" s="88">
        <f t="shared" si="10"/>
        <v>197943.37451019388</v>
      </c>
      <c r="R51" s="32"/>
    </row>
    <row r="52" spans="2:18" x14ac:dyDescent="0.45">
      <c r="B52" s="7"/>
      <c r="C52" s="19">
        <f t="shared" si="11"/>
        <v>44896</v>
      </c>
      <c r="D52" s="26">
        <f t="shared" si="4"/>
        <v>24</v>
      </c>
      <c r="E52" s="34">
        <f t="shared" si="5"/>
        <v>115586.39875605228</v>
      </c>
      <c r="F52" s="43">
        <f t="shared" si="6"/>
        <v>-9045</v>
      </c>
      <c r="G52" s="47">
        <f t="shared" si="12"/>
        <v>305.86956521738426</v>
      </c>
      <c r="H52" s="60">
        <f t="shared" si="7"/>
        <v>106847.26832126966</v>
      </c>
      <c r="J52" s="74">
        <f t="shared" si="1"/>
        <v>24</v>
      </c>
      <c r="K52" s="48">
        <f t="shared" si="8"/>
        <v>111881.03776663153</v>
      </c>
      <c r="L52" s="43">
        <f t="shared" si="13"/>
        <v>-8606.2336743562573</v>
      </c>
      <c r="M52" s="75">
        <f t="shared" si="3"/>
        <v>103274.80409227527</v>
      </c>
      <c r="N52" s="32"/>
      <c r="O52" s="76">
        <f t="shared" si="14"/>
        <v>-217080</v>
      </c>
      <c r="P52" s="39">
        <f t="shared" si="14"/>
        <v>14102.856044444423</v>
      </c>
      <c r="Q52" s="88">
        <f t="shared" si="10"/>
        <v>206549.60818455013</v>
      </c>
      <c r="R52" s="32"/>
    </row>
    <row r="53" spans="2:18" x14ac:dyDescent="0.45">
      <c r="B53" s="7"/>
      <c r="C53" s="19">
        <f t="shared" si="11"/>
        <v>44927</v>
      </c>
      <c r="D53" s="26">
        <f t="shared" si="4"/>
        <v>25</v>
      </c>
      <c r="E53" s="34">
        <f t="shared" si="5"/>
        <v>106847.26832126966</v>
      </c>
      <c r="F53" s="43">
        <f t="shared" si="6"/>
        <v>-9045</v>
      </c>
      <c r="G53" s="47">
        <f t="shared" si="12"/>
        <v>280.7804068463231</v>
      </c>
      <c r="H53" s="60">
        <f t="shared" si="7"/>
        <v>98083.048728115988</v>
      </c>
      <c r="J53" s="74">
        <f t="shared" si="1"/>
        <v>25</v>
      </c>
      <c r="K53" s="48">
        <f t="shared" si="8"/>
        <v>103274.80409227527</v>
      </c>
      <c r="L53" s="43">
        <f t="shared" si="13"/>
        <v>-8606.2336743562573</v>
      </c>
      <c r="M53" s="75">
        <f t="shared" si="3"/>
        <v>94668.570417919007</v>
      </c>
      <c r="N53" s="32"/>
      <c r="O53" s="76">
        <f t="shared" si="14"/>
        <v>-226125</v>
      </c>
      <c r="P53" s="39">
        <f t="shared" si="14"/>
        <v>14383.636451290746</v>
      </c>
      <c r="Q53" s="88">
        <f t="shared" si="10"/>
        <v>215155.84185890638</v>
      </c>
      <c r="R53" s="32"/>
    </row>
    <row r="54" spans="2:18" x14ac:dyDescent="0.45">
      <c r="B54" s="7"/>
      <c r="C54" s="19">
        <f t="shared" si="11"/>
        <v>44958</v>
      </c>
      <c r="D54" s="26">
        <f t="shared" si="4"/>
        <v>26</v>
      </c>
      <c r="E54" s="34">
        <f t="shared" si="5"/>
        <v>98083.048728115988</v>
      </c>
      <c r="F54" s="43">
        <f t="shared" si="6"/>
        <v>-9045</v>
      </c>
      <c r="G54" s="47">
        <f t="shared" si="12"/>
        <v>255.61922004263184</v>
      </c>
      <c r="H54" s="60">
        <f t="shared" si="7"/>
        <v>89293.667948158618</v>
      </c>
      <c r="J54" s="74">
        <f t="shared" si="1"/>
        <v>26</v>
      </c>
      <c r="K54" s="48">
        <f t="shared" si="8"/>
        <v>94668.570417919007</v>
      </c>
      <c r="L54" s="43">
        <f t="shared" si="13"/>
        <v>-8606.2336743562573</v>
      </c>
      <c r="M54" s="75">
        <f t="shared" si="3"/>
        <v>86062.336743562744</v>
      </c>
      <c r="N54" s="32"/>
      <c r="O54" s="76">
        <f t="shared" si="14"/>
        <v>-235170</v>
      </c>
      <c r="P54" s="39">
        <f t="shared" si="14"/>
        <v>14639.255671333378</v>
      </c>
      <c r="Q54" s="88">
        <f t="shared" si="10"/>
        <v>223762.07553326263</v>
      </c>
      <c r="R54" s="32"/>
    </row>
    <row r="55" spans="2:18" x14ac:dyDescent="0.45">
      <c r="B55" s="7"/>
      <c r="C55" s="19">
        <f t="shared" si="11"/>
        <v>44986</v>
      </c>
      <c r="D55" s="26">
        <f t="shared" si="4"/>
        <v>27</v>
      </c>
      <c r="E55" s="34">
        <f t="shared" si="5"/>
        <v>89293.667948158618</v>
      </c>
      <c r="F55" s="43">
        <f t="shared" si="6"/>
        <v>-9045</v>
      </c>
      <c r="G55" s="47">
        <f t="shared" si="12"/>
        <v>230.38579801997537</v>
      </c>
      <c r="H55" s="60">
        <f t="shared" si="7"/>
        <v>80479.053746178586</v>
      </c>
      <c r="J55" s="74">
        <f t="shared" si="1"/>
        <v>27</v>
      </c>
      <c r="K55" s="48">
        <f t="shared" si="8"/>
        <v>86062.336743562744</v>
      </c>
      <c r="L55" s="43">
        <f t="shared" si="13"/>
        <v>-8606.2336743562573</v>
      </c>
      <c r="M55" s="75">
        <f t="shared" si="3"/>
        <v>77456.103069206481</v>
      </c>
      <c r="N55" s="32"/>
      <c r="O55" s="76">
        <f t="shared" si="14"/>
        <v>-244215</v>
      </c>
      <c r="P55" s="39">
        <f t="shared" si="14"/>
        <v>14869.641469353353</v>
      </c>
      <c r="Q55" s="88">
        <f t="shared" si="10"/>
        <v>232368.30920761888</v>
      </c>
      <c r="R55" s="32"/>
    </row>
    <row r="56" spans="2:18" x14ac:dyDescent="0.45">
      <c r="B56" s="7"/>
      <c r="C56" s="19">
        <f t="shared" si="11"/>
        <v>45017</v>
      </c>
      <c r="D56" s="26">
        <f t="shared" si="4"/>
        <v>28</v>
      </c>
      <c r="E56" s="34">
        <f t="shared" si="5"/>
        <v>80479.053746178586</v>
      </c>
      <c r="F56" s="43">
        <f t="shared" si="6"/>
        <v>-9045</v>
      </c>
      <c r="G56" s="47">
        <f t="shared" si="12"/>
        <v>205.0799333983561</v>
      </c>
      <c r="H56" s="60">
        <f t="shared" si="7"/>
        <v>71639.133679576946</v>
      </c>
      <c r="J56" s="74">
        <f t="shared" si="1"/>
        <v>28</v>
      </c>
      <c r="K56" s="48">
        <f t="shared" si="8"/>
        <v>77456.103069206481</v>
      </c>
      <c r="L56" s="43">
        <f t="shared" si="13"/>
        <v>-8606.2336743562573</v>
      </c>
      <c r="M56" s="75">
        <f t="shared" si="3"/>
        <v>68849.869394850219</v>
      </c>
      <c r="N56" s="32"/>
      <c r="O56" s="76">
        <f t="shared" si="14"/>
        <v>-253260</v>
      </c>
      <c r="P56" s="39">
        <f t="shared" si="14"/>
        <v>15074.721402751709</v>
      </c>
      <c r="Q56" s="88">
        <f t="shared" si="10"/>
        <v>240974.54288197513</v>
      </c>
      <c r="R56" s="32"/>
    </row>
    <row r="57" spans="2:18" x14ac:dyDescent="0.45">
      <c r="B57" s="7"/>
      <c r="C57" s="19">
        <f t="shared" si="11"/>
        <v>45047</v>
      </c>
      <c r="D57" s="26">
        <f t="shared" si="4"/>
        <v>29</v>
      </c>
      <c r="E57" s="34">
        <f t="shared" si="5"/>
        <v>71639.133679576946</v>
      </c>
      <c r="F57" s="43">
        <f t="shared" si="6"/>
        <v>-9045</v>
      </c>
      <c r="G57" s="47">
        <f t="shared" si="12"/>
        <v>179.70141820240957</v>
      </c>
      <c r="H57" s="60">
        <f t="shared" si="7"/>
        <v>62773.835097779353</v>
      </c>
      <c r="J57" s="74">
        <f t="shared" si="1"/>
        <v>29</v>
      </c>
      <c r="K57" s="48">
        <f t="shared" si="8"/>
        <v>68849.869394850219</v>
      </c>
      <c r="L57" s="43">
        <f t="shared" si="13"/>
        <v>-8606.2336743562573</v>
      </c>
      <c r="M57" s="75">
        <f t="shared" si="3"/>
        <v>60243.635720493963</v>
      </c>
      <c r="N57" s="32"/>
      <c r="O57" s="76">
        <f t="shared" si="14"/>
        <v>-262305</v>
      </c>
      <c r="P57" s="39">
        <f t="shared" si="14"/>
        <v>15254.42282095412</v>
      </c>
      <c r="Q57" s="88">
        <f t="shared" si="10"/>
        <v>249580.77655633137</v>
      </c>
      <c r="R57" s="32"/>
    </row>
    <row r="58" spans="2:18" x14ac:dyDescent="0.45">
      <c r="B58" s="7"/>
      <c r="C58" s="19">
        <f t="shared" si="11"/>
        <v>45078</v>
      </c>
      <c r="D58" s="26">
        <f t="shared" si="4"/>
        <v>30</v>
      </c>
      <c r="E58" s="34">
        <f t="shared" si="5"/>
        <v>62773.835097779353</v>
      </c>
      <c r="F58" s="43">
        <f t="shared" si="6"/>
        <v>-9045</v>
      </c>
      <c r="G58" s="47">
        <f t="shared" si="12"/>
        <v>154.25004385969487</v>
      </c>
      <c r="H58" s="60">
        <f t="shared" si="7"/>
        <v>53883.085141639051</v>
      </c>
      <c r="J58" s="74">
        <f t="shared" si="1"/>
        <v>30</v>
      </c>
      <c r="K58" s="48">
        <f t="shared" si="8"/>
        <v>60243.635720493963</v>
      </c>
      <c r="L58" s="43">
        <f t="shared" si="13"/>
        <v>-8606.2336743562573</v>
      </c>
      <c r="M58" s="75">
        <f t="shared" si="3"/>
        <v>51637.402046137708</v>
      </c>
      <c r="N58" s="32"/>
      <c r="O58" s="76">
        <f t="shared" si="14"/>
        <v>-271350</v>
      </c>
      <c r="P58" s="39">
        <f t="shared" si="14"/>
        <v>15408.672864813814</v>
      </c>
      <c r="Q58" s="88">
        <f t="shared" si="10"/>
        <v>258187.01023068762</v>
      </c>
      <c r="R58" s="32"/>
    </row>
    <row r="59" spans="2:18" x14ac:dyDescent="0.45">
      <c r="B59" s="7"/>
      <c r="C59" s="19">
        <f t="shared" si="11"/>
        <v>45108</v>
      </c>
      <c r="D59" s="26">
        <f t="shared" si="4"/>
        <v>31</v>
      </c>
      <c r="E59" s="34">
        <f t="shared" si="5"/>
        <v>53883.085141639051</v>
      </c>
      <c r="F59" s="43">
        <f t="shared" si="6"/>
        <v>-9045</v>
      </c>
      <c r="G59" s="47">
        <f t="shared" si="12"/>
        <v>128.72560119898097</v>
      </c>
      <c r="H59" s="60">
        <f t="shared" si="7"/>
        <v>44966.810742838032</v>
      </c>
      <c r="J59" s="74">
        <f t="shared" si="1"/>
        <v>31</v>
      </c>
      <c r="K59" s="48">
        <f t="shared" si="8"/>
        <v>51637.402046137708</v>
      </c>
      <c r="L59" s="43">
        <f t="shared" si="13"/>
        <v>-8606.2336743562573</v>
      </c>
      <c r="M59" s="75">
        <f t="shared" si="3"/>
        <v>43031.168371781452</v>
      </c>
      <c r="N59" s="32"/>
      <c r="O59" s="76">
        <f t="shared" si="14"/>
        <v>-280395</v>
      </c>
      <c r="P59" s="39">
        <f t="shared" si="14"/>
        <v>15537.398466012795</v>
      </c>
      <c r="Q59" s="88">
        <f t="shared" si="10"/>
        <v>266793.24390504387</v>
      </c>
      <c r="R59" s="32"/>
    </row>
    <row r="60" spans="2:18" x14ac:dyDescent="0.45">
      <c r="B60" s="7"/>
      <c r="C60" s="19">
        <f t="shared" si="11"/>
        <v>45139</v>
      </c>
      <c r="D60" s="26">
        <f t="shared" si="4"/>
        <v>32</v>
      </c>
      <c r="E60" s="34">
        <f t="shared" si="5"/>
        <v>44966.810742838032</v>
      </c>
      <c r="F60" s="43">
        <f t="shared" si="6"/>
        <v>-9045</v>
      </c>
      <c r="G60" s="47">
        <f t="shared" si="12"/>
        <v>103.12788044852726</v>
      </c>
      <c r="H60" s="60">
        <f t="shared" si="7"/>
        <v>36024.938623286558</v>
      </c>
      <c r="J60" s="74">
        <f t="shared" si="1"/>
        <v>32</v>
      </c>
      <c r="K60" s="48">
        <f t="shared" si="8"/>
        <v>43031.168371781452</v>
      </c>
      <c r="L60" s="43">
        <f t="shared" si="13"/>
        <v>-8606.2336743562573</v>
      </c>
      <c r="M60" s="75">
        <f t="shared" si="3"/>
        <v>34424.934697425197</v>
      </c>
      <c r="N60" s="32"/>
      <c r="O60" s="76">
        <f t="shared" si="14"/>
        <v>-289440</v>
      </c>
      <c r="P60" s="39">
        <f t="shared" si="14"/>
        <v>15640.526346461322</v>
      </c>
      <c r="Q60" s="88">
        <f t="shared" si="10"/>
        <v>275399.47757940012</v>
      </c>
      <c r="R60" s="32"/>
    </row>
    <row r="61" spans="2:18" x14ac:dyDescent="0.45">
      <c r="B61" s="7"/>
      <c r="C61" s="19">
        <f t="shared" si="11"/>
        <v>45170</v>
      </c>
      <c r="D61" s="26">
        <f t="shared" si="4"/>
        <v>33</v>
      </c>
      <c r="E61" s="34">
        <f t="shared" si="5"/>
        <v>36024.938623286558</v>
      </c>
      <c r="F61" s="43">
        <f t="shared" si="6"/>
        <v>-9045</v>
      </c>
      <c r="G61" s="47">
        <f t="shared" si="12"/>
        <v>77.456671234359803</v>
      </c>
      <c r="H61" s="60">
        <f t="shared" si="7"/>
        <v>27057.395294520917</v>
      </c>
      <c r="J61" s="74">
        <f t="shared" si="1"/>
        <v>33</v>
      </c>
      <c r="K61" s="48">
        <f t="shared" si="8"/>
        <v>34424.934697425197</v>
      </c>
      <c r="L61" s="43">
        <f t="shared" si="13"/>
        <v>-8606.2336743562573</v>
      </c>
      <c r="M61" s="75">
        <f t="shared" si="3"/>
        <v>25818.701023068941</v>
      </c>
      <c r="N61" s="32"/>
      <c r="O61" s="76">
        <f t="shared" si="14"/>
        <v>-298485</v>
      </c>
      <c r="P61" s="39">
        <f t="shared" si="14"/>
        <v>15717.983017695682</v>
      </c>
      <c r="Q61" s="88">
        <f t="shared" si="10"/>
        <v>284005.71125375637</v>
      </c>
      <c r="R61" s="32"/>
    </row>
    <row r="62" spans="2:18" x14ac:dyDescent="0.45">
      <c r="B62" s="7"/>
      <c r="C62" s="19">
        <f t="shared" si="11"/>
        <v>45200</v>
      </c>
      <c r="D62" s="26">
        <f t="shared" si="4"/>
        <v>34</v>
      </c>
      <c r="E62" s="34">
        <f t="shared" si="5"/>
        <v>27057.395294520917</v>
      </c>
      <c r="F62" s="43">
        <f t="shared" si="6"/>
        <v>-9045</v>
      </c>
      <c r="G62" s="47">
        <f t="shared" si="12"/>
        <v>51.711762578542235</v>
      </c>
      <c r="H62" s="60">
        <f t="shared" si="7"/>
        <v>18064.10705709946</v>
      </c>
      <c r="J62" s="74">
        <f t="shared" si="1"/>
        <v>34</v>
      </c>
      <c r="K62" s="48">
        <f t="shared" si="8"/>
        <v>25818.701023068941</v>
      </c>
      <c r="L62" s="43">
        <f t="shared" si="13"/>
        <v>-8606.2336743562573</v>
      </c>
      <c r="M62" s="75">
        <f t="shared" si="3"/>
        <v>17212.467348712686</v>
      </c>
      <c r="N62" s="32"/>
      <c r="O62" s="76">
        <f t="shared" ref="O62:P64" si="15">+O61+F62</f>
        <v>-307530</v>
      </c>
      <c r="P62" s="39">
        <f t="shared" si="15"/>
        <v>15769.694780274225</v>
      </c>
      <c r="Q62" s="88">
        <f t="shared" si="10"/>
        <v>292611.94492811261</v>
      </c>
      <c r="R62" s="32"/>
    </row>
    <row r="63" spans="2:18" x14ac:dyDescent="0.45">
      <c r="B63" s="7"/>
      <c r="C63" s="19">
        <f t="shared" si="11"/>
        <v>45231</v>
      </c>
      <c r="D63" s="26">
        <f t="shared" si="4"/>
        <v>35</v>
      </c>
      <c r="E63" s="34">
        <f t="shared" si="5"/>
        <v>18064.10705709946</v>
      </c>
      <c r="F63" s="43">
        <f t="shared" si="6"/>
        <v>-9045</v>
      </c>
      <c r="G63" s="47">
        <f t="shared" si="12"/>
        <v>25.892942897441944</v>
      </c>
      <c r="H63" s="60">
        <f t="shared" si="7"/>
        <v>9044.9999999969023</v>
      </c>
      <c r="J63" s="74">
        <f t="shared" si="1"/>
        <v>35</v>
      </c>
      <c r="K63" s="48">
        <f t="shared" si="8"/>
        <v>17212.467348712686</v>
      </c>
      <c r="L63" s="43">
        <f t="shared" si="13"/>
        <v>-8606.2336743562573</v>
      </c>
      <c r="M63" s="75">
        <f t="shared" si="3"/>
        <v>8606.2336743564283</v>
      </c>
      <c r="N63" s="32"/>
      <c r="O63" s="76">
        <f t="shared" si="15"/>
        <v>-316575</v>
      </c>
      <c r="P63" s="39">
        <f t="shared" si="15"/>
        <v>15795.587723171668</v>
      </c>
      <c r="Q63" s="88">
        <f t="shared" si="10"/>
        <v>301218.17860246886</v>
      </c>
      <c r="R63" s="32"/>
    </row>
    <row r="64" spans="2:18" x14ac:dyDescent="0.45">
      <c r="B64" s="7"/>
      <c r="C64" s="19">
        <f t="shared" si="11"/>
        <v>45261</v>
      </c>
      <c r="D64" s="26">
        <f t="shared" si="4"/>
        <v>36</v>
      </c>
      <c r="E64" s="34">
        <f t="shared" si="5"/>
        <v>9044.9999999969023</v>
      </c>
      <c r="F64" s="43">
        <f t="shared" si="6"/>
        <v>-9045</v>
      </c>
      <c r="G64" s="47">
        <f t="shared" si="12"/>
        <v>-8.8932947957573954E-12</v>
      </c>
      <c r="H64" s="60">
        <f t="shared" si="7"/>
        <v>-3.106632249034351E-9</v>
      </c>
      <c r="J64" s="74">
        <f t="shared" si="1"/>
        <v>36</v>
      </c>
      <c r="K64" s="48">
        <f t="shared" si="8"/>
        <v>8606.2336743564283</v>
      </c>
      <c r="L64" s="43">
        <f t="shared" si="13"/>
        <v>-8606.2336743562573</v>
      </c>
      <c r="M64" s="75">
        <f t="shared" si="3"/>
        <v>1.7098500393331051E-10</v>
      </c>
      <c r="N64" s="32"/>
      <c r="O64" s="76">
        <f t="shared" si="15"/>
        <v>-325620</v>
      </c>
      <c r="P64" s="39">
        <f t="shared" si="15"/>
        <v>15795.587723171659</v>
      </c>
      <c r="Q64" s="88">
        <f t="shared" si="10"/>
        <v>309824.41227682511</v>
      </c>
      <c r="R64" s="32"/>
    </row>
    <row r="65" spans="2:18" x14ac:dyDescent="0.45">
      <c r="B65" s="7"/>
      <c r="C65" s="19">
        <f t="shared" si="11"/>
        <v>45292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45323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45352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45383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45413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45444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45474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45505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45536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45566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45597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45627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45658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45689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45717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45748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45778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45809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45839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45870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45901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45931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45962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45992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46023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46054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46082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46113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46143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46174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6">DATE(YEAR(C94),MONTH(C94)+1,DAY(C94))</f>
        <v>46204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6"/>
        <v>46235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6"/>
        <v>46266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6"/>
        <v>46296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6"/>
        <v>46327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6"/>
        <v>46357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6"/>
        <v>46388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6"/>
        <v>46419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6"/>
        <v>46447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6"/>
        <v>46478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6"/>
        <v>46508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6"/>
        <v>46539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6"/>
        <v>46569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-3.0267983675003052E-9</v>
      </c>
      <c r="F110" s="43">
        <f>SUM(F29:F107)</f>
        <v>-325620</v>
      </c>
      <c r="G110" s="43">
        <f>SUM(G29:G107)</f>
        <v>15795.587723171659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309824.41227682529</v>
      </c>
      <c r="G116" s="119">
        <f>INDEX(M:M,MATCH(DATE(2021,12,DAY(D10)),C:C))</f>
        <v>206549.60818455031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-99743.068282828273</v>
      </c>
      <c r="G119" s="113">
        <f ca="1">IFERROR(SUM(INDIRECT("F"&amp;MATCH(DATE(2022,1,DAY(D10)),C:C)):INDIRECT("G"&amp;MATCH(DATE(2022,1,DAY(D10)),C:C)+11)),VALUE("0"))</f>
        <v>-103234.0756727273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-210081.34399400005</v>
      </c>
      <c r="G123" s="113">
        <f ca="1">IFERROR(SUM(INDIRECT("F"&amp;MATCH(DATE(2023,1,DAY(D10)),C:C)):G107),VALUE("0"))</f>
        <v>-106847.26832127276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-108540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-108540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82E22-857B-4834-8853-4859AC3A1846}">
  <dimension ref="B1:R130"/>
  <sheetViews>
    <sheetView topLeftCell="A106" zoomScale="85" zoomScaleNormal="85" workbookViewId="0">
      <selection activeCell="F116" sqref="F116"/>
    </sheetView>
  </sheetViews>
  <sheetFormatPr defaultRowHeight="14.25" x14ac:dyDescent="0.45"/>
  <cols>
    <col min="1" max="1" width="4.86328125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210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f>VLOOKUP($C$2,'Lease Summary'!D:H,5,FALSE)</f>
        <v>2400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43891</v>
      </c>
      <c r="E10" s="12">
        <f>VLOOKUP($C$2,'Lease Summary'!D:H,4,FALSE)</f>
        <v>44985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14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2:18" x14ac:dyDescent="0.45">
      <c r="D17" s="4"/>
      <c r="F17">
        <f>F12/12</f>
        <v>3</v>
      </c>
      <c r="G17" t="s">
        <v>230</v>
      </c>
    </row>
    <row r="19" spans="2:18" x14ac:dyDescent="0.45">
      <c r="B19" s="9"/>
      <c r="C19" s="9"/>
      <c r="D19" s="8"/>
      <c r="E19" s="8"/>
      <c r="F19" s="8"/>
      <c r="G19" s="8"/>
      <c r="H19" s="50"/>
    </row>
    <row r="20" spans="2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2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2:18" x14ac:dyDescent="0.45">
      <c r="B22" s="7"/>
      <c r="C22" s="17" t="s">
        <v>233</v>
      </c>
      <c r="D22" s="22"/>
      <c r="E22" s="22"/>
      <c r="F22" s="39">
        <f>D7</f>
        <v>2400</v>
      </c>
      <c r="G22" s="7" t="s">
        <v>229</v>
      </c>
      <c r="H22" s="53">
        <f>-PV(F16,F12,F22,0,1)</f>
        <v>82208.799277432918</v>
      </c>
      <c r="J22" s="17" t="s">
        <v>234</v>
      </c>
      <c r="K22" s="22"/>
      <c r="L22" s="7"/>
      <c r="M22" s="65">
        <f>H22</f>
        <v>82208.799277432918</v>
      </c>
      <c r="N22" s="7"/>
      <c r="O22" s="7"/>
      <c r="P22" s="7"/>
      <c r="Q22" s="7"/>
      <c r="R22" s="7"/>
    </row>
    <row r="23" spans="2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2:18" x14ac:dyDescent="0.45">
      <c r="B24" s="8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2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2:18" x14ac:dyDescent="0.45">
      <c r="B26" s="7"/>
      <c r="C26" s="8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2:18" x14ac:dyDescent="0.45">
      <c r="B27" s="7"/>
      <c r="C27" s="19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2:18" ht="14.65" thickBot="1" x14ac:dyDescent="0.5"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2:18" x14ac:dyDescent="0.45">
      <c r="B29" s="7"/>
      <c r="C29" s="19">
        <f>D10</f>
        <v>43891</v>
      </c>
      <c r="D29" s="27">
        <v>1</v>
      </c>
      <c r="E29" s="33">
        <f>H22</f>
        <v>82208.799277432918</v>
      </c>
      <c r="F29" s="42">
        <f>-D7</f>
        <v>-2400</v>
      </c>
      <c r="G29" s="46">
        <f t="shared" ref="G29:G40" si="0">((E29+F29)*($F$16))</f>
        <v>229.12297961662702</v>
      </c>
      <c r="H29" s="59">
        <f>SUM(E29:G29)</f>
        <v>80037.922257049548</v>
      </c>
      <c r="J29" s="69">
        <f t="shared" ref="J29:J64" si="1">D29</f>
        <v>1</v>
      </c>
      <c r="K29" s="70">
        <f>M22</f>
        <v>82208.799277432918</v>
      </c>
      <c r="L29" s="42">
        <f t="shared" ref="L29:L40" si="2">-$M$22/$F$12</f>
        <v>-2283.57775770647</v>
      </c>
      <c r="M29" s="71">
        <f t="shared" ref="M29:M64" si="3">K29+L29</f>
        <v>79925.221519726445</v>
      </c>
      <c r="N29" s="32"/>
      <c r="O29" s="72">
        <f>+F29</f>
        <v>-2400</v>
      </c>
      <c r="P29" s="73">
        <f>+G29</f>
        <v>229.12297961662702</v>
      </c>
      <c r="Q29" s="71">
        <f>-L29</f>
        <v>2283.57775770647</v>
      </c>
      <c r="R29" s="85"/>
    </row>
    <row r="30" spans="2:18" x14ac:dyDescent="0.45">
      <c r="B30" s="7"/>
      <c r="C30" s="19">
        <f>DATE(YEAR(C29),MONTH(C29)+1,DAY(C29))</f>
        <v>43922</v>
      </c>
      <c r="D30" s="26">
        <f t="shared" ref="D30:D64" si="4">D29+1</f>
        <v>2</v>
      </c>
      <c r="E30" s="34">
        <f t="shared" ref="E30:E64" si="5">H29</f>
        <v>80037.922257049548</v>
      </c>
      <c r="F30" s="43">
        <f t="shared" ref="F30:F64" si="6">F29</f>
        <v>-2400</v>
      </c>
      <c r="G30" s="47">
        <f t="shared" si="0"/>
        <v>222.89061155953547</v>
      </c>
      <c r="H30" s="60">
        <f t="shared" ref="H30:H64" si="7">SUM(E30:G30)</f>
        <v>77860.812868609079</v>
      </c>
      <c r="J30" s="74">
        <f t="shared" si="1"/>
        <v>2</v>
      </c>
      <c r="K30" s="48">
        <f t="shared" ref="K30:K64" si="8">M29</f>
        <v>79925.221519726445</v>
      </c>
      <c r="L30" s="43">
        <f t="shared" si="2"/>
        <v>-2283.57775770647</v>
      </c>
      <c r="M30" s="75">
        <f t="shared" si="3"/>
        <v>77641.643762019972</v>
      </c>
      <c r="N30" s="32"/>
      <c r="O30" s="76">
        <f t="shared" ref="O30:P45" si="9">+O29+F30</f>
        <v>-4800</v>
      </c>
      <c r="P30" s="77">
        <f t="shared" si="9"/>
        <v>452.01359117616249</v>
      </c>
      <c r="Q30" s="75">
        <f t="shared" ref="Q30:Q64" si="10">+Q29-L30</f>
        <v>4567.1555154129401</v>
      </c>
      <c r="R30" s="86"/>
    </row>
    <row r="31" spans="2:18" x14ac:dyDescent="0.45">
      <c r="B31" s="7"/>
      <c r="C31" s="19">
        <f t="shared" ref="C31:C94" si="11">DATE(YEAR(C30),MONTH(C30)+1,DAY(C30))</f>
        <v>43952</v>
      </c>
      <c r="D31" s="26">
        <f t="shared" si="4"/>
        <v>3</v>
      </c>
      <c r="E31" s="34">
        <f t="shared" si="5"/>
        <v>77860.812868609079</v>
      </c>
      <c r="F31" s="43">
        <f t="shared" si="6"/>
        <v>-2400</v>
      </c>
      <c r="G31" s="47">
        <f t="shared" si="0"/>
        <v>216.64035100497199</v>
      </c>
      <c r="H31" s="60">
        <f t="shared" si="7"/>
        <v>75677.45321961405</v>
      </c>
      <c r="J31" s="74">
        <f t="shared" si="1"/>
        <v>3</v>
      </c>
      <c r="K31" s="48">
        <f t="shared" si="8"/>
        <v>77641.643762019972</v>
      </c>
      <c r="L31" s="43">
        <f t="shared" si="2"/>
        <v>-2283.57775770647</v>
      </c>
      <c r="M31" s="75">
        <f t="shared" si="3"/>
        <v>75358.066004313499</v>
      </c>
      <c r="N31" s="32"/>
      <c r="O31" s="76">
        <f t="shared" si="9"/>
        <v>-7200</v>
      </c>
      <c r="P31" s="39">
        <f t="shared" si="9"/>
        <v>668.65394218113443</v>
      </c>
      <c r="Q31" s="88">
        <f t="shared" si="10"/>
        <v>6850.7332731194101</v>
      </c>
      <c r="R31" s="86"/>
    </row>
    <row r="32" spans="2:18" x14ac:dyDescent="0.45">
      <c r="B32" s="7"/>
      <c r="C32" s="19">
        <f t="shared" si="11"/>
        <v>43983</v>
      </c>
      <c r="D32" s="26">
        <f t="shared" si="4"/>
        <v>4</v>
      </c>
      <c r="E32" s="34">
        <f t="shared" si="5"/>
        <v>75677.45321961405</v>
      </c>
      <c r="F32" s="43">
        <f t="shared" si="6"/>
        <v>-2400</v>
      </c>
      <c r="G32" s="47">
        <f t="shared" si="0"/>
        <v>210.37214658538855</v>
      </c>
      <c r="H32" s="60">
        <f t="shared" si="7"/>
        <v>73487.825366199439</v>
      </c>
      <c r="J32" s="74">
        <f t="shared" si="1"/>
        <v>4</v>
      </c>
      <c r="K32" s="48">
        <f t="shared" si="8"/>
        <v>75358.066004313499</v>
      </c>
      <c r="L32" s="43">
        <f t="shared" si="2"/>
        <v>-2283.57775770647</v>
      </c>
      <c r="M32" s="75">
        <f t="shared" si="3"/>
        <v>73074.488246607027</v>
      </c>
      <c r="N32" s="32"/>
      <c r="O32" s="76">
        <f t="shared" si="9"/>
        <v>-9600</v>
      </c>
      <c r="P32" s="39">
        <f t="shared" si="9"/>
        <v>879.026088766523</v>
      </c>
      <c r="Q32" s="88">
        <f t="shared" si="10"/>
        <v>9134.3110308258802</v>
      </c>
      <c r="R32" s="86"/>
    </row>
    <row r="33" spans="2:18" x14ac:dyDescent="0.45">
      <c r="B33" s="7"/>
      <c r="C33" s="19">
        <f t="shared" si="11"/>
        <v>44013</v>
      </c>
      <c r="D33" s="26">
        <f t="shared" si="4"/>
        <v>5</v>
      </c>
      <c r="E33" s="34">
        <f t="shared" si="5"/>
        <v>73487.825366199439</v>
      </c>
      <c r="F33" s="43">
        <f t="shared" si="6"/>
        <v>-2400</v>
      </c>
      <c r="G33" s="47">
        <f t="shared" si="0"/>
        <v>204.085946785766</v>
      </c>
      <c r="H33" s="60">
        <f t="shared" si="7"/>
        <v>71291.911312985205</v>
      </c>
      <c r="J33" s="74">
        <f t="shared" si="1"/>
        <v>5</v>
      </c>
      <c r="K33" s="48">
        <f t="shared" si="8"/>
        <v>73074.488246607027</v>
      </c>
      <c r="L33" s="43">
        <f t="shared" si="2"/>
        <v>-2283.57775770647</v>
      </c>
      <c r="M33" s="75">
        <f t="shared" si="3"/>
        <v>70790.910488900554</v>
      </c>
      <c r="N33" s="32"/>
      <c r="O33" s="76">
        <f t="shared" si="9"/>
        <v>-12000</v>
      </c>
      <c r="P33" s="39">
        <f t="shared" si="9"/>
        <v>1083.1120355522889</v>
      </c>
      <c r="Q33" s="88">
        <f t="shared" si="10"/>
        <v>11417.888788532349</v>
      </c>
      <c r="R33" s="86"/>
    </row>
    <row r="34" spans="2:18" x14ac:dyDescent="0.45">
      <c r="B34" s="7"/>
      <c r="C34" s="19">
        <f t="shared" si="11"/>
        <v>44044</v>
      </c>
      <c r="D34" s="26">
        <f t="shared" si="4"/>
        <v>6</v>
      </c>
      <c r="E34" s="34">
        <f t="shared" si="5"/>
        <v>71291.911312985205</v>
      </c>
      <c r="F34" s="43">
        <f t="shared" si="6"/>
        <v>-2400</v>
      </c>
      <c r="G34" s="47">
        <f t="shared" si="0"/>
        <v>197.78169994319086</v>
      </c>
      <c r="H34" s="60">
        <f t="shared" si="7"/>
        <v>69089.693012928401</v>
      </c>
      <c r="J34" s="74">
        <f t="shared" si="1"/>
        <v>6</v>
      </c>
      <c r="K34" s="48">
        <f t="shared" si="8"/>
        <v>70790.910488900554</v>
      </c>
      <c r="L34" s="43">
        <f t="shared" si="2"/>
        <v>-2283.57775770647</v>
      </c>
      <c r="M34" s="75">
        <f t="shared" si="3"/>
        <v>68507.332731194081</v>
      </c>
      <c r="N34" s="32"/>
      <c r="O34" s="76">
        <f t="shared" si="9"/>
        <v>-14400</v>
      </c>
      <c r="P34" s="39">
        <f t="shared" si="9"/>
        <v>1280.8937354954799</v>
      </c>
      <c r="Q34" s="88">
        <f t="shared" si="10"/>
        <v>13701.466546238818</v>
      </c>
      <c r="R34" s="86"/>
    </row>
    <row r="35" spans="2:18" x14ac:dyDescent="0.45">
      <c r="B35" s="7"/>
      <c r="C35" s="19">
        <f t="shared" si="11"/>
        <v>44075</v>
      </c>
      <c r="D35" s="26">
        <f t="shared" si="4"/>
        <v>7</v>
      </c>
      <c r="E35" s="34">
        <f t="shared" si="5"/>
        <v>69089.693012928401</v>
      </c>
      <c r="F35" s="43">
        <f t="shared" si="6"/>
        <v>-2400</v>
      </c>
      <c r="G35" s="47">
        <f t="shared" si="0"/>
        <v>191.45935424643065</v>
      </c>
      <c r="H35" s="60">
        <f t="shared" si="7"/>
        <v>66881.152367174829</v>
      </c>
      <c r="J35" s="74">
        <f t="shared" si="1"/>
        <v>7</v>
      </c>
      <c r="K35" s="48">
        <f t="shared" si="8"/>
        <v>68507.332731194081</v>
      </c>
      <c r="L35" s="43">
        <f t="shared" si="2"/>
        <v>-2283.57775770647</v>
      </c>
      <c r="M35" s="75">
        <f t="shared" si="3"/>
        <v>66223.754973487608</v>
      </c>
      <c r="N35" s="32"/>
      <c r="O35" s="76">
        <f t="shared" si="9"/>
        <v>-16800</v>
      </c>
      <c r="P35" s="39">
        <f t="shared" si="9"/>
        <v>1472.3530897419105</v>
      </c>
      <c r="Q35" s="88">
        <f t="shared" si="10"/>
        <v>15985.044303945288</v>
      </c>
      <c r="R35" s="86"/>
    </row>
    <row r="36" spans="2:18" x14ac:dyDescent="0.45">
      <c r="B36" s="7"/>
      <c r="C36" s="19">
        <f t="shared" si="11"/>
        <v>44105</v>
      </c>
      <c r="D36" s="26">
        <f t="shared" si="4"/>
        <v>8</v>
      </c>
      <c r="E36" s="34">
        <f t="shared" si="5"/>
        <v>66881.152367174829</v>
      </c>
      <c r="F36" s="43">
        <f t="shared" si="6"/>
        <v>-2400</v>
      </c>
      <c r="G36" s="47">
        <f t="shared" si="0"/>
        <v>185.11885773550802</v>
      </c>
      <c r="H36" s="60">
        <f t="shared" si="7"/>
        <v>64666.271224910335</v>
      </c>
      <c r="J36" s="74">
        <f t="shared" si="1"/>
        <v>8</v>
      </c>
      <c r="K36" s="48">
        <f t="shared" si="8"/>
        <v>66223.754973487608</v>
      </c>
      <c r="L36" s="43">
        <f t="shared" si="2"/>
        <v>-2283.57775770647</v>
      </c>
      <c r="M36" s="75">
        <f t="shared" si="3"/>
        <v>63940.177215781136</v>
      </c>
      <c r="N36" s="32"/>
      <c r="O36" s="76">
        <f t="shared" si="9"/>
        <v>-19200</v>
      </c>
      <c r="P36" s="39">
        <f t="shared" si="9"/>
        <v>1657.4719474774186</v>
      </c>
      <c r="Q36" s="88">
        <f t="shared" si="10"/>
        <v>18268.622061651757</v>
      </c>
      <c r="R36" s="86"/>
    </row>
    <row r="37" spans="2:18" x14ac:dyDescent="0.45">
      <c r="B37" s="7"/>
      <c r="C37" s="19">
        <f t="shared" si="11"/>
        <v>44136</v>
      </c>
      <c r="D37" s="26">
        <f t="shared" si="4"/>
        <v>9</v>
      </c>
      <c r="E37" s="34">
        <f t="shared" si="5"/>
        <v>64666.271224910335</v>
      </c>
      <c r="F37" s="43">
        <f t="shared" si="6"/>
        <v>-2400</v>
      </c>
      <c r="G37" s="47">
        <f t="shared" si="0"/>
        <v>178.76015830127386</v>
      </c>
      <c r="H37" s="60">
        <f t="shared" si="7"/>
        <v>62445.031383211608</v>
      </c>
      <c r="J37" s="74">
        <f t="shared" si="1"/>
        <v>9</v>
      </c>
      <c r="K37" s="48">
        <f t="shared" si="8"/>
        <v>63940.177215781136</v>
      </c>
      <c r="L37" s="43">
        <f t="shared" si="2"/>
        <v>-2283.57775770647</v>
      </c>
      <c r="M37" s="75">
        <f t="shared" si="3"/>
        <v>61656.599458074663</v>
      </c>
      <c r="N37" s="32"/>
      <c r="O37" s="76">
        <f t="shared" si="9"/>
        <v>-21600</v>
      </c>
      <c r="P37" s="39">
        <f t="shared" si="9"/>
        <v>1836.2321057786924</v>
      </c>
      <c r="Q37" s="88">
        <f t="shared" si="10"/>
        <v>20552.199819358226</v>
      </c>
      <c r="R37" s="86"/>
    </row>
    <row r="38" spans="2:18" x14ac:dyDescent="0.45">
      <c r="B38" s="7"/>
      <c r="C38" s="19">
        <f t="shared" si="11"/>
        <v>44166</v>
      </c>
      <c r="D38" s="26">
        <f t="shared" si="4"/>
        <v>10</v>
      </c>
      <c r="E38" s="34">
        <f t="shared" si="5"/>
        <v>62445.031383211608</v>
      </c>
      <c r="F38" s="43">
        <f t="shared" si="6"/>
        <v>-2400</v>
      </c>
      <c r="G38" s="47">
        <f t="shared" si="0"/>
        <v>172.38320368497898</v>
      </c>
      <c r="H38" s="60">
        <f t="shared" si="7"/>
        <v>60217.414586896586</v>
      </c>
      <c r="J38" s="74">
        <f t="shared" si="1"/>
        <v>10</v>
      </c>
      <c r="K38" s="48">
        <f t="shared" si="8"/>
        <v>61656.599458074663</v>
      </c>
      <c r="L38" s="43">
        <f t="shared" si="2"/>
        <v>-2283.57775770647</v>
      </c>
      <c r="M38" s="75">
        <f t="shared" si="3"/>
        <v>59373.02170036819</v>
      </c>
      <c r="N38" s="32"/>
      <c r="O38" s="76">
        <f t="shared" si="9"/>
        <v>-24000</v>
      </c>
      <c r="P38" s="39">
        <f t="shared" si="9"/>
        <v>2008.6153094636713</v>
      </c>
      <c r="Q38" s="88">
        <f t="shared" si="10"/>
        <v>22835.777577064695</v>
      </c>
      <c r="R38" s="87"/>
    </row>
    <row r="39" spans="2:18" x14ac:dyDescent="0.45">
      <c r="B39" s="7"/>
      <c r="C39" s="19">
        <f t="shared" si="11"/>
        <v>44197</v>
      </c>
      <c r="D39" s="26">
        <f t="shared" si="4"/>
        <v>11</v>
      </c>
      <c r="E39" s="34">
        <f t="shared" si="5"/>
        <v>60217.414586896586</v>
      </c>
      <c r="F39" s="43">
        <f t="shared" si="6"/>
        <v>-2400</v>
      </c>
      <c r="G39" s="47">
        <f t="shared" si="0"/>
        <v>165.98794147784457</v>
      </c>
      <c r="H39" s="60">
        <f t="shared" si="7"/>
        <v>57983.402528374434</v>
      </c>
      <c r="J39" s="74">
        <f t="shared" si="1"/>
        <v>11</v>
      </c>
      <c r="K39" s="48">
        <f t="shared" si="8"/>
        <v>59373.02170036819</v>
      </c>
      <c r="L39" s="43">
        <f t="shared" si="2"/>
        <v>-2283.57775770647</v>
      </c>
      <c r="M39" s="75">
        <f t="shared" si="3"/>
        <v>57089.443942661717</v>
      </c>
      <c r="N39" s="32"/>
      <c r="O39" s="76">
        <f t="shared" si="9"/>
        <v>-26400</v>
      </c>
      <c r="P39" s="39">
        <f t="shared" si="9"/>
        <v>2174.6032509415159</v>
      </c>
      <c r="Q39" s="88">
        <f t="shared" si="10"/>
        <v>25119.355334771164</v>
      </c>
      <c r="R39" s="87"/>
    </row>
    <row r="40" spans="2:18" x14ac:dyDescent="0.45">
      <c r="B40" s="7"/>
      <c r="C40" s="19">
        <f t="shared" si="11"/>
        <v>44228</v>
      </c>
      <c r="D40" s="26">
        <f t="shared" si="4"/>
        <v>12</v>
      </c>
      <c r="E40" s="34">
        <f t="shared" si="5"/>
        <v>57983.402528374434</v>
      </c>
      <c r="F40" s="43">
        <f t="shared" si="6"/>
        <v>-2400</v>
      </c>
      <c r="G40" s="47">
        <f t="shared" si="0"/>
        <v>159.57431912063154</v>
      </c>
      <c r="H40" s="60">
        <f t="shared" si="7"/>
        <v>55742.976847495069</v>
      </c>
      <c r="J40" s="74">
        <f t="shared" si="1"/>
        <v>12</v>
      </c>
      <c r="K40" s="48">
        <f t="shared" si="8"/>
        <v>57089.443942661717</v>
      </c>
      <c r="L40" s="43">
        <f t="shared" si="2"/>
        <v>-2283.57775770647</v>
      </c>
      <c r="M40" s="75">
        <f t="shared" si="3"/>
        <v>54805.866184955245</v>
      </c>
      <c r="N40" s="32"/>
      <c r="O40" s="76">
        <f t="shared" si="9"/>
        <v>-28800</v>
      </c>
      <c r="P40" s="39">
        <f t="shared" si="9"/>
        <v>2334.1775700621474</v>
      </c>
      <c r="Q40" s="88">
        <f t="shared" si="10"/>
        <v>27402.933092477633</v>
      </c>
      <c r="R40" s="87"/>
    </row>
    <row r="41" spans="2:18" x14ac:dyDescent="0.45">
      <c r="B41" s="7"/>
      <c r="C41" s="19">
        <f t="shared" si="11"/>
        <v>44256</v>
      </c>
      <c r="D41" s="26">
        <f t="shared" si="4"/>
        <v>13</v>
      </c>
      <c r="E41" s="34">
        <f t="shared" si="5"/>
        <v>55742.976847495069</v>
      </c>
      <c r="F41" s="43">
        <f t="shared" si="6"/>
        <v>-2400</v>
      </c>
      <c r="G41" s="47">
        <f t="shared" ref="G41:G64" si="12">((E41+F41)*($F$16))</f>
        <v>153.14228390320858</v>
      </c>
      <c r="H41" s="60">
        <f t="shared" si="7"/>
        <v>53496.119131398278</v>
      </c>
      <c r="J41" s="74">
        <f t="shared" si="1"/>
        <v>13</v>
      </c>
      <c r="K41" s="48">
        <f t="shared" si="8"/>
        <v>54805.866184955245</v>
      </c>
      <c r="L41" s="43">
        <f t="shared" ref="L41:L64" si="13">-$M$22/$F$12</f>
        <v>-2283.57775770647</v>
      </c>
      <c r="M41" s="75">
        <f t="shared" si="3"/>
        <v>52522.288427248772</v>
      </c>
      <c r="N41" s="32"/>
      <c r="O41" s="76">
        <f t="shared" si="9"/>
        <v>-31200</v>
      </c>
      <c r="P41" s="39">
        <f t="shared" si="9"/>
        <v>2487.3198539653558</v>
      </c>
      <c r="Q41" s="88">
        <f t="shared" si="10"/>
        <v>29686.510850184102</v>
      </c>
      <c r="R41" s="87"/>
    </row>
    <row r="42" spans="2:18" x14ac:dyDescent="0.45">
      <c r="B42" s="7"/>
      <c r="C42" s="19">
        <f t="shared" si="11"/>
        <v>44287</v>
      </c>
      <c r="D42" s="26">
        <f t="shared" si="4"/>
        <v>14</v>
      </c>
      <c r="E42" s="34">
        <f t="shared" si="5"/>
        <v>53496.119131398278</v>
      </c>
      <c r="F42" s="43">
        <f t="shared" si="6"/>
        <v>-2400</v>
      </c>
      <c r="G42" s="47">
        <f t="shared" si="12"/>
        <v>146.69178296411883</v>
      </c>
      <c r="H42" s="60">
        <f t="shared" si="7"/>
        <v>51242.810914362395</v>
      </c>
      <c r="J42" s="74">
        <f t="shared" si="1"/>
        <v>14</v>
      </c>
      <c r="K42" s="48">
        <f t="shared" si="8"/>
        <v>52522.288427248772</v>
      </c>
      <c r="L42" s="43">
        <f t="shared" si="13"/>
        <v>-2283.57775770647</v>
      </c>
      <c r="M42" s="75">
        <f t="shared" si="3"/>
        <v>50238.710669542299</v>
      </c>
      <c r="N42" s="32"/>
      <c r="O42" s="76">
        <f t="shared" si="9"/>
        <v>-33600</v>
      </c>
      <c r="P42" s="39">
        <f t="shared" si="9"/>
        <v>2634.0116369294747</v>
      </c>
      <c r="Q42" s="88">
        <f t="shared" si="10"/>
        <v>31970.088607890571</v>
      </c>
      <c r="R42" s="87"/>
    </row>
    <row r="43" spans="2:18" x14ac:dyDescent="0.45">
      <c r="B43" s="7"/>
      <c r="C43" s="19">
        <f t="shared" si="11"/>
        <v>44317</v>
      </c>
      <c r="D43" s="26">
        <f t="shared" si="4"/>
        <v>15</v>
      </c>
      <c r="E43" s="34">
        <f t="shared" si="5"/>
        <v>51242.810914362395</v>
      </c>
      <c r="F43" s="43">
        <f t="shared" si="6"/>
        <v>-2400</v>
      </c>
      <c r="G43" s="47">
        <f t="shared" si="12"/>
        <v>140.22276329014565</v>
      </c>
      <c r="H43" s="60">
        <f t="shared" si="7"/>
        <v>48983.033677652544</v>
      </c>
      <c r="J43" s="74">
        <f t="shared" si="1"/>
        <v>15</v>
      </c>
      <c r="K43" s="48">
        <f t="shared" si="8"/>
        <v>50238.710669542299</v>
      </c>
      <c r="L43" s="43">
        <f t="shared" si="13"/>
        <v>-2283.57775770647</v>
      </c>
      <c r="M43" s="75">
        <f t="shared" si="3"/>
        <v>47955.132911835826</v>
      </c>
      <c r="N43" s="32"/>
      <c r="O43" s="76">
        <f t="shared" si="9"/>
        <v>-36000</v>
      </c>
      <c r="P43" s="39">
        <f t="shared" si="9"/>
        <v>2774.2344002196205</v>
      </c>
      <c r="Q43" s="88">
        <f t="shared" si="10"/>
        <v>34253.666365597041</v>
      </c>
      <c r="R43" s="87"/>
    </row>
    <row r="44" spans="2:18" x14ac:dyDescent="0.45">
      <c r="B44" s="7"/>
      <c r="C44" s="19">
        <f t="shared" si="11"/>
        <v>44348</v>
      </c>
      <c r="D44" s="26">
        <f t="shared" si="4"/>
        <v>16</v>
      </c>
      <c r="E44" s="34">
        <f t="shared" si="5"/>
        <v>48983.033677652544</v>
      </c>
      <c r="F44" s="43">
        <f t="shared" si="6"/>
        <v>-2400</v>
      </c>
      <c r="G44" s="47">
        <f t="shared" si="12"/>
        <v>133.73517171587676</v>
      </c>
      <c r="H44" s="60">
        <f t="shared" si="7"/>
        <v>46716.768849368418</v>
      </c>
      <c r="J44" s="74">
        <f t="shared" si="1"/>
        <v>16</v>
      </c>
      <c r="K44" s="48">
        <f t="shared" si="8"/>
        <v>47955.132911835826</v>
      </c>
      <c r="L44" s="43">
        <f t="shared" si="13"/>
        <v>-2283.57775770647</v>
      </c>
      <c r="M44" s="75">
        <f t="shared" si="3"/>
        <v>45671.555154129353</v>
      </c>
      <c r="N44" s="32"/>
      <c r="O44" s="76">
        <f t="shared" si="9"/>
        <v>-38400</v>
      </c>
      <c r="P44" s="39">
        <f t="shared" si="9"/>
        <v>2907.9695719354972</v>
      </c>
      <c r="Q44" s="88">
        <f t="shared" si="10"/>
        <v>36537.244123303513</v>
      </c>
      <c r="R44" s="87"/>
    </row>
    <row r="45" spans="2:18" x14ac:dyDescent="0.45">
      <c r="B45" s="7"/>
      <c r="C45" s="19">
        <f t="shared" si="11"/>
        <v>44378</v>
      </c>
      <c r="D45" s="26">
        <f t="shared" si="4"/>
        <v>17</v>
      </c>
      <c r="E45" s="34">
        <f t="shared" si="5"/>
        <v>46716.768849368418</v>
      </c>
      <c r="F45" s="43">
        <f t="shared" si="6"/>
        <v>-2400</v>
      </c>
      <c r="G45" s="47">
        <f t="shared" si="12"/>
        <v>127.22895492326742</v>
      </c>
      <c r="H45" s="60">
        <f t="shared" si="7"/>
        <v>44443.997804291685</v>
      </c>
      <c r="J45" s="74">
        <f t="shared" si="1"/>
        <v>17</v>
      </c>
      <c r="K45" s="48">
        <f t="shared" si="8"/>
        <v>45671.555154129353</v>
      </c>
      <c r="L45" s="43">
        <f t="shared" si="13"/>
        <v>-2283.57775770647</v>
      </c>
      <c r="M45" s="75">
        <f t="shared" si="3"/>
        <v>43387.977396422881</v>
      </c>
      <c r="N45" s="32"/>
      <c r="O45" s="76">
        <f t="shared" si="9"/>
        <v>-40800</v>
      </c>
      <c r="P45" s="39">
        <f t="shared" si="9"/>
        <v>3035.1985268587646</v>
      </c>
      <c r="Q45" s="88">
        <f t="shared" si="10"/>
        <v>38820.821881009986</v>
      </c>
      <c r="R45" s="87"/>
    </row>
    <row r="46" spans="2:18" x14ac:dyDescent="0.45">
      <c r="B46" s="7"/>
      <c r="C46" s="19">
        <f t="shared" si="11"/>
        <v>44409</v>
      </c>
      <c r="D46" s="26">
        <f t="shared" si="4"/>
        <v>18</v>
      </c>
      <c r="E46" s="34">
        <f t="shared" si="5"/>
        <v>44443.997804291685</v>
      </c>
      <c r="F46" s="43">
        <f t="shared" si="6"/>
        <v>-2400</v>
      </c>
      <c r="G46" s="47">
        <f t="shared" si="12"/>
        <v>120.70405944120215</v>
      </c>
      <c r="H46" s="60">
        <f t="shared" si="7"/>
        <v>42164.701863732887</v>
      </c>
      <c r="J46" s="74">
        <f t="shared" si="1"/>
        <v>18</v>
      </c>
      <c r="K46" s="48">
        <f t="shared" si="8"/>
        <v>43387.977396422881</v>
      </c>
      <c r="L46" s="43">
        <f t="shared" si="13"/>
        <v>-2283.57775770647</v>
      </c>
      <c r="M46" s="75">
        <f t="shared" si="3"/>
        <v>41104.399638716408</v>
      </c>
      <c r="N46" s="32"/>
      <c r="O46" s="76">
        <f t="shared" ref="O46:P61" si="14">+O45+F46</f>
        <v>-43200</v>
      </c>
      <c r="P46" s="39">
        <f t="shared" si="14"/>
        <v>3155.9025862999665</v>
      </c>
      <c r="Q46" s="88">
        <f t="shared" si="10"/>
        <v>41104.399638716459</v>
      </c>
      <c r="R46" s="87"/>
    </row>
    <row r="47" spans="2:18" x14ac:dyDescent="0.45">
      <c r="B47" s="7"/>
      <c r="C47" s="19">
        <f t="shared" si="11"/>
        <v>44440</v>
      </c>
      <c r="D47" s="26">
        <f t="shared" si="4"/>
        <v>19</v>
      </c>
      <c r="E47" s="34">
        <f t="shared" si="5"/>
        <v>42164.701863732887</v>
      </c>
      <c r="F47" s="43">
        <f t="shared" si="6"/>
        <v>-2400</v>
      </c>
      <c r="G47" s="47">
        <f t="shared" si="12"/>
        <v>114.16043164505531</v>
      </c>
      <c r="H47" s="60">
        <f t="shared" si="7"/>
        <v>39878.862295377941</v>
      </c>
      <c r="J47" s="74">
        <f t="shared" si="1"/>
        <v>19</v>
      </c>
      <c r="K47" s="48">
        <f t="shared" si="8"/>
        <v>41104.399638716408</v>
      </c>
      <c r="L47" s="43">
        <f t="shared" si="13"/>
        <v>-2283.57775770647</v>
      </c>
      <c r="M47" s="75">
        <f t="shared" si="3"/>
        <v>38820.821881009935</v>
      </c>
      <c r="N47" s="32"/>
      <c r="O47" s="76">
        <f t="shared" si="14"/>
        <v>-45600</v>
      </c>
      <c r="P47" s="39">
        <f t="shared" si="14"/>
        <v>3270.0630179450218</v>
      </c>
      <c r="Q47" s="88">
        <f t="shared" si="10"/>
        <v>43387.977396422932</v>
      </c>
      <c r="R47" s="87"/>
    </row>
    <row r="48" spans="2:18" x14ac:dyDescent="0.45">
      <c r="B48" s="7"/>
      <c r="C48" s="19">
        <f t="shared" si="11"/>
        <v>44470</v>
      </c>
      <c r="D48" s="26">
        <f t="shared" si="4"/>
        <v>20</v>
      </c>
      <c r="E48" s="34">
        <f t="shared" si="5"/>
        <v>39878.862295377941</v>
      </c>
      <c r="F48" s="43">
        <f t="shared" si="6"/>
        <v>-2400</v>
      </c>
      <c r="G48" s="47">
        <f t="shared" si="12"/>
        <v>107.5980177562504</v>
      </c>
      <c r="H48" s="60">
        <f t="shared" si="7"/>
        <v>37586.460313134194</v>
      </c>
      <c r="J48" s="74">
        <f t="shared" si="1"/>
        <v>20</v>
      </c>
      <c r="K48" s="48">
        <f t="shared" si="8"/>
        <v>38820.821881009935</v>
      </c>
      <c r="L48" s="43">
        <f t="shared" si="13"/>
        <v>-2283.57775770647</v>
      </c>
      <c r="M48" s="75">
        <f t="shared" si="3"/>
        <v>36537.244123303462</v>
      </c>
      <c r="N48" s="32"/>
      <c r="O48" s="76">
        <f t="shared" si="14"/>
        <v>-48000</v>
      </c>
      <c r="P48" s="39">
        <f t="shared" si="14"/>
        <v>3377.6610357012723</v>
      </c>
      <c r="Q48" s="88">
        <f t="shared" si="10"/>
        <v>45671.555154129404</v>
      </c>
      <c r="R48" s="87"/>
    </row>
    <row r="49" spans="2:18" x14ac:dyDescent="0.45">
      <c r="B49" s="7"/>
      <c r="C49" s="19">
        <f t="shared" si="11"/>
        <v>44501</v>
      </c>
      <c r="D49" s="26">
        <f t="shared" si="4"/>
        <v>21</v>
      </c>
      <c r="E49" s="34">
        <f t="shared" si="5"/>
        <v>37586.460313134194</v>
      </c>
      <c r="F49" s="43">
        <f t="shared" si="6"/>
        <v>-2400</v>
      </c>
      <c r="G49" s="47">
        <f t="shared" si="12"/>
        <v>101.01676384181806</v>
      </c>
      <c r="H49" s="60">
        <f t="shared" si="7"/>
        <v>35287.477076976014</v>
      </c>
      <c r="J49" s="74">
        <f t="shared" si="1"/>
        <v>21</v>
      </c>
      <c r="K49" s="48">
        <f t="shared" si="8"/>
        <v>36537.244123303462</v>
      </c>
      <c r="L49" s="43">
        <f t="shared" si="13"/>
        <v>-2283.57775770647</v>
      </c>
      <c r="M49" s="75">
        <f t="shared" si="3"/>
        <v>34253.66636559699</v>
      </c>
      <c r="N49" s="80"/>
      <c r="O49" s="76">
        <f t="shared" si="14"/>
        <v>-50400</v>
      </c>
      <c r="P49" s="39">
        <f t="shared" si="14"/>
        <v>3478.6777995430903</v>
      </c>
      <c r="Q49" s="88">
        <f t="shared" si="10"/>
        <v>47955.132911835877</v>
      </c>
      <c r="R49" s="87"/>
    </row>
    <row r="50" spans="2:18" x14ac:dyDescent="0.45">
      <c r="B50" s="7"/>
      <c r="C50" s="19">
        <f t="shared" si="11"/>
        <v>44531</v>
      </c>
      <c r="D50" s="26">
        <f t="shared" si="4"/>
        <v>22</v>
      </c>
      <c r="E50" s="34">
        <f t="shared" si="5"/>
        <v>35287.477076976014</v>
      </c>
      <c r="F50" s="43">
        <f t="shared" si="6"/>
        <v>-2400</v>
      </c>
      <c r="G50" s="47">
        <f t="shared" si="12"/>
        <v>94.416615813952873</v>
      </c>
      <c r="H50" s="60">
        <f t="shared" si="7"/>
        <v>32981.89369278997</v>
      </c>
      <c r="J50" s="74">
        <f t="shared" si="1"/>
        <v>22</v>
      </c>
      <c r="K50" s="48">
        <f t="shared" si="8"/>
        <v>34253.66636559699</v>
      </c>
      <c r="L50" s="43">
        <f t="shared" si="13"/>
        <v>-2283.57775770647</v>
      </c>
      <c r="M50" s="75">
        <f t="shared" si="3"/>
        <v>31970.088607890521</v>
      </c>
      <c r="N50" s="32"/>
      <c r="O50" s="76">
        <f t="shared" si="14"/>
        <v>-52800</v>
      </c>
      <c r="P50" s="39">
        <f t="shared" si="14"/>
        <v>3573.0944153570431</v>
      </c>
      <c r="Q50" s="88">
        <f t="shared" si="10"/>
        <v>50238.71066954235</v>
      </c>
      <c r="R50" s="32"/>
    </row>
    <row r="51" spans="2:18" x14ac:dyDescent="0.45">
      <c r="B51" s="7"/>
      <c r="C51" s="19">
        <f t="shared" si="11"/>
        <v>44562</v>
      </c>
      <c r="D51" s="26">
        <f t="shared" si="4"/>
        <v>23</v>
      </c>
      <c r="E51" s="34">
        <f t="shared" si="5"/>
        <v>32981.89369278997</v>
      </c>
      <c r="F51" s="43">
        <f t="shared" si="6"/>
        <v>-2400</v>
      </c>
      <c r="G51" s="47">
        <f t="shared" si="12"/>
        <v>87.797519429568766</v>
      </c>
      <c r="H51" s="60">
        <f t="shared" si="7"/>
        <v>30669.691212219539</v>
      </c>
      <c r="J51" s="74">
        <f t="shared" si="1"/>
        <v>23</v>
      </c>
      <c r="K51" s="48">
        <f t="shared" si="8"/>
        <v>31970.088607890521</v>
      </c>
      <c r="L51" s="43">
        <f t="shared" si="13"/>
        <v>-2283.57775770647</v>
      </c>
      <c r="M51" s="75">
        <f t="shared" si="3"/>
        <v>29686.510850184051</v>
      </c>
      <c r="N51" s="32"/>
      <c r="O51" s="76">
        <f t="shared" si="14"/>
        <v>-55200</v>
      </c>
      <c r="P51" s="39">
        <f t="shared" si="14"/>
        <v>3660.8919347866117</v>
      </c>
      <c r="Q51" s="88">
        <f t="shared" si="10"/>
        <v>52522.288427248823</v>
      </c>
      <c r="R51" s="32"/>
    </row>
    <row r="52" spans="2:18" x14ac:dyDescent="0.45">
      <c r="B52" s="7"/>
      <c r="C52" s="19">
        <f t="shared" si="11"/>
        <v>44593</v>
      </c>
      <c r="D52" s="26">
        <f t="shared" si="4"/>
        <v>24</v>
      </c>
      <c r="E52" s="34">
        <f t="shared" si="5"/>
        <v>30669.691212219539</v>
      </c>
      <c r="F52" s="43">
        <f t="shared" si="6"/>
        <v>-2400</v>
      </c>
      <c r="G52" s="47">
        <f t="shared" si="12"/>
        <v>81.159420289853287</v>
      </c>
      <c r="H52" s="60">
        <f t="shared" si="7"/>
        <v>28350.850632509391</v>
      </c>
      <c r="J52" s="74">
        <f t="shared" si="1"/>
        <v>24</v>
      </c>
      <c r="K52" s="48">
        <f t="shared" si="8"/>
        <v>29686.510850184051</v>
      </c>
      <c r="L52" s="43">
        <f t="shared" si="13"/>
        <v>-2283.57775770647</v>
      </c>
      <c r="M52" s="75">
        <f t="shared" si="3"/>
        <v>27402.933092477582</v>
      </c>
      <c r="N52" s="32"/>
      <c r="O52" s="76">
        <f t="shared" si="14"/>
        <v>-57600</v>
      </c>
      <c r="P52" s="39">
        <f t="shared" si="14"/>
        <v>3742.0513550764649</v>
      </c>
      <c r="Q52" s="88">
        <f t="shared" si="10"/>
        <v>54805.866184955295</v>
      </c>
      <c r="R52" s="32"/>
    </row>
    <row r="53" spans="2:18" x14ac:dyDescent="0.45">
      <c r="B53" s="7"/>
      <c r="C53" s="19">
        <f t="shared" si="11"/>
        <v>44621</v>
      </c>
      <c r="D53" s="26">
        <f t="shared" si="4"/>
        <v>25</v>
      </c>
      <c r="E53" s="34">
        <f t="shared" si="5"/>
        <v>28350.850632509391</v>
      </c>
      <c r="F53" s="43">
        <f t="shared" si="6"/>
        <v>-2400</v>
      </c>
      <c r="G53" s="47">
        <f t="shared" si="12"/>
        <v>74.502263839820486</v>
      </c>
      <c r="H53" s="60">
        <f t="shared" si="7"/>
        <v>26025.352896349214</v>
      </c>
      <c r="J53" s="74">
        <f t="shared" si="1"/>
        <v>25</v>
      </c>
      <c r="K53" s="48">
        <f t="shared" si="8"/>
        <v>27402.933092477582</v>
      </c>
      <c r="L53" s="43">
        <f t="shared" si="13"/>
        <v>-2283.57775770647</v>
      </c>
      <c r="M53" s="75">
        <f t="shared" si="3"/>
        <v>25119.355334771113</v>
      </c>
      <c r="N53" s="32"/>
      <c r="O53" s="76">
        <f t="shared" si="14"/>
        <v>-60000</v>
      </c>
      <c r="P53" s="39">
        <f t="shared" si="14"/>
        <v>3816.5536189162854</v>
      </c>
      <c r="Q53" s="88">
        <f t="shared" si="10"/>
        <v>57089.443942661768</v>
      </c>
      <c r="R53" s="32"/>
    </row>
    <row r="54" spans="2:18" x14ac:dyDescent="0.45">
      <c r="B54" s="7"/>
      <c r="C54" s="19">
        <f t="shared" si="11"/>
        <v>44652</v>
      </c>
      <c r="D54" s="26">
        <f t="shared" si="4"/>
        <v>26</v>
      </c>
      <c r="E54" s="34">
        <f t="shared" si="5"/>
        <v>26025.352896349214</v>
      </c>
      <c r="F54" s="43">
        <f t="shared" si="6"/>
        <v>-2400</v>
      </c>
      <c r="G54" s="47">
        <f t="shared" si="12"/>
        <v>67.825995367862589</v>
      </c>
      <c r="H54" s="60">
        <f t="shared" si="7"/>
        <v>23693.178891717078</v>
      </c>
      <c r="J54" s="74">
        <f t="shared" si="1"/>
        <v>26</v>
      </c>
      <c r="K54" s="48">
        <f t="shared" si="8"/>
        <v>25119.355334771113</v>
      </c>
      <c r="L54" s="43">
        <f t="shared" si="13"/>
        <v>-2283.57775770647</v>
      </c>
      <c r="M54" s="75">
        <f t="shared" si="3"/>
        <v>22835.777577064644</v>
      </c>
      <c r="N54" s="32"/>
      <c r="O54" s="76">
        <f t="shared" si="14"/>
        <v>-62400</v>
      </c>
      <c r="P54" s="39">
        <f t="shared" si="14"/>
        <v>3884.3796142841479</v>
      </c>
      <c r="Q54" s="88">
        <f t="shared" si="10"/>
        <v>59373.021700368241</v>
      </c>
      <c r="R54" s="32"/>
    </row>
    <row r="55" spans="2:18" x14ac:dyDescent="0.45">
      <c r="B55" s="7"/>
      <c r="C55" s="19">
        <f t="shared" si="11"/>
        <v>44682</v>
      </c>
      <c r="D55" s="26">
        <f t="shared" si="4"/>
        <v>27</v>
      </c>
      <c r="E55" s="34">
        <f t="shared" si="5"/>
        <v>23693.178891717078</v>
      </c>
      <c r="F55" s="43">
        <f t="shared" si="6"/>
        <v>-2400</v>
      </c>
      <c r="G55" s="47">
        <f t="shared" si="12"/>
        <v>61.130560005300353</v>
      </c>
      <c r="H55" s="60">
        <f t="shared" si="7"/>
        <v>21354.30945172238</v>
      </c>
      <c r="J55" s="74">
        <f t="shared" si="1"/>
        <v>27</v>
      </c>
      <c r="K55" s="48">
        <f t="shared" si="8"/>
        <v>22835.777577064644</v>
      </c>
      <c r="L55" s="43">
        <f t="shared" si="13"/>
        <v>-2283.57775770647</v>
      </c>
      <c r="M55" s="75">
        <f t="shared" si="3"/>
        <v>20552.199819358175</v>
      </c>
      <c r="N55" s="32"/>
      <c r="O55" s="76">
        <f t="shared" si="14"/>
        <v>-64800</v>
      </c>
      <c r="P55" s="39">
        <f t="shared" si="14"/>
        <v>3945.5101742894481</v>
      </c>
      <c r="Q55" s="88">
        <f t="shared" si="10"/>
        <v>61656.599458074714</v>
      </c>
      <c r="R55" s="32"/>
    </row>
    <row r="56" spans="2:18" x14ac:dyDescent="0.45">
      <c r="B56" s="7"/>
      <c r="C56" s="19">
        <f t="shared" si="11"/>
        <v>44713</v>
      </c>
      <c r="D56" s="26">
        <f t="shared" si="4"/>
        <v>28</v>
      </c>
      <c r="E56" s="34">
        <f t="shared" si="5"/>
        <v>21354.30945172238</v>
      </c>
      <c r="F56" s="43">
        <f t="shared" si="6"/>
        <v>-2400</v>
      </c>
      <c r="G56" s="47">
        <f t="shared" si="12"/>
        <v>54.415902725932071</v>
      </c>
      <c r="H56" s="60">
        <f t="shared" si="7"/>
        <v>19008.725354448314</v>
      </c>
      <c r="J56" s="74">
        <f t="shared" si="1"/>
        <v>28</v>
      </c>
      <c r="K56" s="48">
        <f t="shared" si="8"/>
        <v>20552.199819358175</v>
      </c>
      <c r="L56" s="43">
        <f t="shared" si="13"/>
        <v>-2283.57775770647</v>
      </c>
      <c r="M56" s="75">
        <f t="shared" si="3"/>
        <v>18268.622061651706</v>
      </c>
      <c r="N56" s="32"/>
      <c r="O56" s="76">
        <f t="shared" si="14"/>
        <v>-67200</v>
      </c>
      <c r="P56" s="39">
        <f t="shared" si="14"/>
        <v>3999.9260770153801</v>
      </c>
      <c r="Q56" s="88">
        <f t="shared" si="10"/>
        <v>63940.177215781187</v>
      </c>
      <c r="R56" s="32"/>
    </row>
    <row r="57" spans="2:18" x14ac:dyDescent="0.45">
      <c r="B57" s="7"/>
      <c r="C57" s="19">
        <f t="shared" si="11"/>
        <v>44743</v>
      </c>
      <c r="D57" s="26">
        <f t="shared" si="4"/>
        <v>29</v>
      </c>
      <c r="E57" s="34">
        <f t="shared" si="5"/>
        <v>19008.725354448314</v>
      </c>
      <c r="F57" s="43">
        <f t="shared" si="6"/>
        <v>-2400</v>
      </c>
      <c r="G57" s="47">
        <f t="shared" si="12"/>
        <v>47.681968345581417</v>
      </c>
      <c r="H57" s="60">
        <f t="shared" si="7"/>
        <v>16656.407322793893</v>
      </c>
      <c r="J57" s="74">
        <f t="shared" si="1"/>
        <v>29</v>
      </c>
      <c r="K57" s="48">
        <f t="shared" si="8"/>
        <v>18268.622061651706</v>
      </c>
      <c r="L57" s="43">
        <f t="shared" si="13"/>
        <v>-2283.57775770647</v>
      </c>
      <c r="M57" s="75">
        <f t="shared" si="3"/>
        <v>15985.044303945237</v>
      </c>
      <c r="N57" s="32"/>
      <c r="O57" s="76">
        <f t="shared" si="14"/>
        <v>-69600</v>
      </c>
      <c r="P57" s="39">
        <f t="shared" si="14"/>
        <v>4047.6080453609616</v>
      </c>
      <c r="Q57" s="88">
        <f t="shared" si="10"/>
        <v>66223.754973487652</v>
      </c>
      <c r="R57" s="32"/>
    </row>
    <row r="58" spans="2:18" x14ac:dyDescent="0.45">
      <c r="B58" s="7"/>
      <c r="C58" s="19">
        <f t="shared" si="11"/>
        <v>44774</v>
      </c>
      <c r="D58" s="26">
        <f t="shared" si="4"/>
        <v>30</v>
      </c>
      <c r="E58" s="34">
        <f t="shared" si="5"/>
        <v>16656.407322793893</v>
      </c>
      <c r="F58" s="43">
        <f t="shared" si="6"/>
        <v>-2400</v>
      </c>
      <c r="G58" s="47">
        <f t="shared" si="12"/>
        <v>40.928701521643852</v>
      </c>
      <c r="H58" s="60">
        <f t="shared" si="7"/>
        <v>14297.336024315537</v>
      </c>
      <c r="J58" s="74">
        <f t="shared" si="1"/>
        <v>30</v>
      </c>
      <c r="K58" s="48">
        <f t="shared" si="8"/>
        <v>15985.044303945237</v>
      </c>
      <c r="L58" s="43">
        <f t="shared" si="13"/>
        <v>-2283.57775770647</v>
      </c>
      <c r="M58" s="75">
        <f t="shared" si="3"/>
        <v>13701.466546238767</v>
      </c>
      <c r="N58" s="32"/>
      <c r="O58" s="76">
        <f t="shared" si="14"/>
        <v>-72000</v>
      </c>
      <c r="P58" s="39">
        <f t="shared" si="14"/>
        <v>4088.5367468826053</v>
      </c>
      <c r="Q58" s="88">
        <f t="shared" si="10"/>
        <v>68507.332731194125</v>
      </c>
      <c r="R58" s="32"/>
    </row>
    <row r="59" spans="2:18" x14ac:dyDescent="0.45">
      <c r="B59" s="7"/>
      <c r="C59" s="19">
        <f t="shared" si="11"/>
        <v>44805</v>
      </c>
      <c r="D59" s="26">
        <f t="shared" si="4"/>
        <v>31</v>
      </c>
      <c r="E59" s="34">
        <f t="shared" si="5"/>
        <v>14297.336024315537</v>
      </c>
      <c r="F59" s="43">
        <f t="shared" si="6"/>
        <v>-2400</v>
      </c>
      <c r="G59" s="47">
        <f t="shared" si="12"/>
        <v>34.156046752631866</v>
      </c>
      <c r="H59" s="60">
        <f t="shared" si="7"/>
        <v>11931.492071068169</v>
      </c>
      <c r="J59" s="74">
        <f t="shared" si="1"/>
        <v>31</v>
      </c>
      <c r="K59" s="48">
        <f t="shared" si="8"/>
        <v>13701.466546238767</v>
      </c>
      <c r="L59" s="43">
        <f t="shared" si="13"/>
        <v>-2283.57775770647</v>
      </c>
      <c r="M59" s="75">
        <f t="shared" si="3"/>
        <v>11417.888788532298</v>
      </c>
      <c r="N59" s="32"/>
      <c r="O59" s="76">
        <f t="shared" si="14"/>
        <v>-74400</v>
      </c>
      <c r="P59" s="39">
        <f t="shared" si="14"/>
        <v>4122.6927936352367</v>
      </c>
      <c r="Q59" s="88">
        <f t="shared" si="10"/>
        <v>70790.910488900598</v>
      </c>
      <c r="R59" s="32"/>
    </row>
    <row r="60" spans="2:18" x14ac:dyDescent="0.45">
      <c r="B60" s="7"/>
      <c r="C60" s="19">
        <f t="shared" si="11"/>
        <v>44835</v>
      </c>
      <c r="D60" s="26">
        <f t="shared" si="4"/>
        <v>32</v>
      </c>
      <c r="E60" s="34">
        <f t="shared" si="5"/>
        <v>11931.492071068169</v>
      </c>
      <c r="F60" s="43">
        <f t="shared" si="6"/>
        <v>-2400</v>
      </c>
      <c r="G60" s="47">
        <f t="shared" si="12"/>
        <v>27.363948377718778</v>
      </c>
      <c r="H60" s="60">
        <f t="shared" si="7"/>
        <v>9558.8560194458878</v>
      </c>
      <c r="J60" s="74">
        <f t="shared" si="1"/>
        <v>32</v>
      </c>
      <c r="K60" s="48">
        <f t="shared" si="8"/>
        <v>11417.888788532298</v>
      </c>
      <c r="L60" s="43">
        <f t="shared" si="13"/>
        <v>-2283.57775770647</v>
      </c>
      <c r="M60" s="75">
        <f t="shared" si="3"/>
        <v>9134.3110308258292</v>
      </c>
      <c r="N60" s="32"/>
      <c r="O60" s="76">
        <f t="shared" si="14"/>
        <v>-76800</v>
      </c>
      <c r="P60" s="39">
        <f t="shared" si="14"/>
        <v>4150.0567420129555</v>
      </c>
      <c r="Q60" s="88">
        <f t="shared" si="10"/>
        <v>73074.48824660707</v>
      </c>
      <c r="R60" s="32"/>
    </row>
    <row r="61" spans="2:18" x14ac:dyDescent="0.45">
      <c r="B61" s="7"/>
      <c r="C61" s="19">
        <f t="shared" si="11"/>
        <v>44866</v>
      </c>
      <c r="D61" s="26">
        <f t="shared" si="4"/>
        <v>33</v>
      </c>
      <c r="E61" s="34">
        <f t="shared" si="5"/>
        <v>9558.8560194458878</v>
      </c>
      <c r="F61" s="43">
        <f t="shared" si="6"/>
        <v>-2400</v>
      </c>
      <c r="G61" s="47">
        <f t="shared" si="12"/>
        <v>20.552350576281309</v>
      </c>
      <c r="H61" s="60">
        <f t="shared" si="7"/>
        <v>7179.408370022169</v>
      </c>
      <c r="J61" s="74">
        <f t="shared" si="1"/>
        <v>33</v>
      </c>
      <c r="K61" s="48">
        <f t="shared" si="8"/>
        <v>9134.3110308258292</v>
      </c>
      <c r="L61" s="43">
        <f t="shared" si="13"/>
        <v>-2283.57775770647</v>
      </c>
      <c r="M61" s="75">
        <f t="shared" si="3"/>
        <v>6850.7332731193592</v>
      </c>
      <c r="N61" s="32"/>
      <c r="O61" s="76">
        <f t="shared" si="14"/>
        <v>-79200</v>
      </c>
      <c r="P61" s="39">
        <f t="shared" si="14"/>
        <v>4170.6090925892368</v>
      </c>
      <c r="Q61" s="88">
        <f t="shared" si="10"/>
        <v>75358.066004313543</v>
      </c>
      <c r="R61" s="32"/>
    </row>
    <row r="62" spans="2:18" x14ac:dyDescent="0.45">
      <c r="B62" s="7"/>
      <c r="C62" s="19">
        <f t="shared" si="11"/>
        <v>44896</v>
      </c>
      <c r="D62" s="26">
        <f t="shared" si="4"/>
        <v>34</v>
      </c>
      <c r="E62" s="34">
        <f t="shared" si="5"/>
        <v>7179.408370022169</v>
      </c>
      <c r="F62" s="43">
        <f t="shared" si="6"/>
        <v>-2400</v>
      </c>
      <c r="G62" s="47">
        <f t="shared" si="12"/>
        <v>13.721197367440828</v>
      </c>
      <c r="H62" s="60">
        <f t="shared" si="7"/>
        <v>4793.1295673896102</v>
      </c>
      <c r="J62" s="74">
        <f t="shared" si="1"/>
        <v>34</v>
      </c>
      <c r="K62" s="48">
        <f t="shared" si="8"/>
        <v>6850.7332731193592</v>
      </c>
      <c r="L62" s="43">
        <f t="shared" si="13"/>
        <v>-2283.57775770647</v>
      </c>
      <c r="M62" s="75">
        <f t="shared" si="3"/>
        <v>4567.1555154128891</v>
      </c>
      <c r="N62" s="32"/>
      <c r="O62" s="76">
        <f t="shared" ref="O62:P64" si="15">+O61+F62</f>
        <v>-81600</v>
      </c>
      <c r="P62" s="39">
        <f t="shared" si="15"/>
        <v>4184.3302899566779</v>
      </c>
      <c r="Q62" s="88">
        <f t="shared" si="10"/>
        <v>77641.643762020016</v>
      </c>
      <c r="R62" s="32"/>
    </row>
    <row r="63" spans="2:18" x14ac:dyDescent="0.45">
      <c r="B63" s="7"/>
      <c r="C63" s="19">
        <f t="shared" si="11"/>
        <v>44927</v>
      </c>
      <c r="D63" s="26">
        <f t="shared" si="4"/>
        <v>35</v>
      </c>
      <c r="E63" s="34">
        <f t="shared" si="5"/>
        <v>4793.1295673896102</v>
      </c>
      <c r="F63" s="43">
        <f t="shared" si="6"/>
        <v>-2400</v>
      </c>
      <c r="G63" s="47">
        <f t="shared" si="12"/>
        <v>6.8704326096032711</v>
      </c>
      <c r="H63" s="60">
        <f t="shared" si="7"/>
        <v>2399.9999999992133</v>
      </c>
      <c r="J63" s="74">
        <f t="shared" si="1"/>
        <v>35</v>
      </c>
      <c r="K63" s="48">
        <f t="shared" si="8"/>
        <v>4567.1555154128891</v>
      </c>
      <c r="L63" s="43">
        <f t="shared" si="13"/>
        <v>-2283.57775770647</v>
      </c>
      <c r="M63" s="75">
        <f t="shared" si="3"/>
        <v>2283.5777577064191</v>
      </c>
      <c r="N63" s="32"/>
      <c r="O63" s="76">
        <f t="shared" si="15"/>
        <v>-84000</v>
      </c>
      <c r="P63" s="39">
        <f t="shared" si="15"/>
        <v>4191.200722566281</v>
      </c>
      <c r="Q63" s="88">
        <f t="shared" si="10"/>
        <v>79925.221519726489</v>
      </c>
      <c r="R63" s="32"/>
    </row>
    <row r="64" spans="2:18" x14ac:dyDescent="0.45">
      <c r="B64" s="7"/>
      <c r="C64" s="19">
        <f t="shared" si="11"/>
        <v>44958</v>
      </c>
      <c r="D64" s="26">
        <f t="shared" si="4"/>
        <v>36</v>
      </c>
      <c r="E64" s="34">
        <f t="shared" si="5"/>
        <v>2399.9999999992133</v>
      </c>
      <c r="F64" s="43">
        <f t="shared" si="6"/>
        <v>-2400</v>
      </c>
      <c r="G64" s="47">
        <f t="shared" si="12"/>
        <v>-2.2585731057927619E-12</v>
      </c>
      <c r="H64" s="60">
        <f t="shared" si="7"/>
        <v>-7.8897149013937573E-10</v>
      </c>
      <c r="J64" s="74">
        <f t="shared" si="1"/>
        <v>36</v>
      </c>
      <c r="K64" s="48">
        <f t="shared" si="8"/>
        <v>2283.5777577064191</v>
      </c>
      <c r="L64" s="43">
        <f t="shared" si="13"/>
        <v>-2283.57775770647</v>
      </c>
      <c r="M64" s="75">
        <f t="shared" si="3"/>
        <v>-5.0931703299283981E-11</v>
      </c>
      <c r="N64" s="32"/>
      <c r="O64" s="76">
        <f t="shared" si="15"/>
        <v>-86400</v>
      </c>
      <c r="P64" s="39">
        <f t="shared" si="15"/>
        <v>4191.2007225662792</v>
      </c>
      <c r="Q64" s="88">
        <f t="shared" si="10"/>
        <v>82208.799277432961</v>
      </c>
      <c r="R64" s="32"/>
    </row>
    <row r="65" spans="2:18" x14ac:dyDescent="0.45">
      <c r="B65" s="7"/>
      <c r="C65" s="19">
        <f t="shared" si="11"/>
        <v>44986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45017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45047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45078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45108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45139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45170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45200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45231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45261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45292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45323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45352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45383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45413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45444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45474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45505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45536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45566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45597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45627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45658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45689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45717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45748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45778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45809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45839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45870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6">DATE(YEAR(C94),MONTH(C94)+1,DAY(C94))</f>
        <v>45901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6"/>
        <v>45931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6"/>
        <v>45962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6"/>
        <v>45992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6"/>
        <v>46023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6"/>
        <v>46054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6"/>
        <v>46082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6"/>
        <v>46113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6"/>
        <v>46143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6"/>
        <v>46174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6"/>
        <v>46204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6"/>
        <v>46235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6"/>
        <v>46266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-8.0035533756017685E-10</v>
      </c>
      <c r="F110" s="43">
        <f>SUM(F29:F107)</f>
        <v>-86400</v>
      </c>
      <c r="G110" s="43">
        <f>SUM(G29:G107)</f>
        <v>4191.2007225662792</v>
      </c>
      <c r="H110" s="62"/>
    </row>
    <row r="111" spans="2:18" ht="14.65" thickBot="1" x14ac:dyDescent="0.5"/>
    <row r="112" spans="2:18" ht="14.65" thickBot="1" x14ac:dyDescent="0.5">
      <c r="D112" s="82"/>
      <c r="E112" s="8"/>
      <c r="F112" s="136" t="s">
        <v>246</v>
      </c>
      <c r="G112" s="137"/>
    </row>
    <row r="113" spans="4:7" x14ac:dyDescent="0.45">
      <c r="D113" s="126" t="s">
        <v>247</v>
      </c>
      <c r="E113" s="125"/>
      <c r="F113" s="124" t="s">
        <v>248</v>
      </c>
      <c r="G113" s="123">
        <v>44561</v>
      </c>
    </row>
    <row r="114" spans="4:7" x14ac:dyDescent="0.45">
      <c r="D114" s="26"/>
      <c r="E114" s="8"/>
      <c r="F114" s="122" t="s">
        <v>218</v>
      </c>
      <c r="G114" s="121" t="s">
        <v>218</v>
      </c>
    </row>
    <row r="115" spans="4:7" x14ac:dyDescent="0.45">
      <c r="D115" s="115" t="s">
        <v>249</v>
      </c>
      <c r="E115" s="8"/>
      <c r="F115" s="120"/>
      <c r="G115" s="117"/>
    </row>
    <row r="116" spans="4:7" x14ac:dyDescent="0.45">
      <c r="D116" s="114" t="s">
        <v>250</v>
      </c>
      <c r="E116" s="8"/>
      <c r="F116" s="118">
        <f>IF(YEAR(D10)&lt;2021=TRUE,INDEX(K:K,MATCH(DATE(2021,1,DAY(D10)),C:C)),INDEX(K:K,MATCH(DATE(2021,MAX(1,MONTH(D10)),DAY(D10)),C:C)))</f>
        <v>59373.02170036819</v>
      </c>
      <c r="G116" s="119">
        <f>INDEX(M:M,MATCH(DATE(2021,12,DAY(D10)),C:C))</f>
        <v>31970.088607890521</v>
      </c>
    </row>
    <row r="117" spans="4:7" x14ac:dyDescent="0.45">
      <c r="D117" s="115"/>
      <c r="E117" s="8"/>
      <c r="F117" s="118"/>
      <c r="G117" s="117"/>
    </row>
    <row r="118" spans="4:7" x14ac:dyDescent="0.45">
      <c r="D118" s="115" t="s">
        <v>251</v>
      </c>
      <c r="E118" s="8"/>
      <c r="F118" s="118"/>
      <c r="G118" s="117"/>
    </row>
    <row r="119" spans="4:7" x14ac:dyDescent="0.45">
      <c r="D119" s="114" t="s">
        <v>12</v>
      </c>
      <c r="E119" s="8"/>
      <c r="F119" s="108">
        <f ca="1">IF(YEAR(D10)&lt;2021=TRUE,SUM(INDIRECT("F"&amp;MATCH(DATE(2021,1,DAY(D10)),C:C)):INDIRECT("G"&amp;MATCH(DATE(2021,12,DAY(D10)),C:C))),SUM(INDIRECT("F"&amp;MATCH(DATE(2021,MAX(1,MONTH(D10)),DAY(D10)),C:C)):INDIRECT("G"&amp;MATCH(DATE(2021,12,DAY(D10)),C:C))))</f>
        <v>-27235.520894106634</v>
      </c>
      <c r="G119" s="113">
        <f ca="1">IFERROR(SUM(INDIRECT("F"&amp;MATCH(DATE(2022,1,DAY(D10)),C:C)):INDIRECT("G"&amp;MATCH(DATE(2022,1,DAY(D10)),C:C)+11)),VALUE("0"))</f>
        <v>-28188.764125400361</v>
      </c>
    </row>
    <row r="120" spans="4:7" x14ac:dyDescent="0.45">
      <c r="D120" s="114"/>
      <c r="E120" s="8"/>
      <c r="F120" s="108"/>
      <c r="G120" s="113"/>
    </row>
    <row r="121" spans="4:7" ht="14.65" thickBot="1" x14ac:dyDescent="0.5">
      <c r="D121" s="114"/>
      <c r="E121" s="8"/>
      <c r="F121"/>
      <c r="G121" s="116"/>
    </row>
    <row r="122" spans="4:7" x14ac:dyDescent="0.45">
      <c r="D122" s="115" t="s">
        <v>252</v>
      </c>
      <c r="E122" s="8"/>
      <c r="F122"/>
      <c r="G122" s="113"/>
    </row>
    <row r="123" spans="4:7" x14ac:dyDescent="0.45">
      <c r="D123" s="114" t="s">
        <v>12</v>
      </c>
      <c r="E123" s="8"/>
      <c r="F123" s="108">
        <f ca="1">SUM(G119,G123)</f>
        <v>-32981.893692790763</v>
      </c>
      <c r="G123" s="113">
        <f ca="1">IFERROR(SUM(INDIRECT("F"&amp;MATCH(DATE(2023,1,DAY(D10)),C:C)):G107),VALUE("0"))</f>
        <v>-4793.1295673903987</v>
      </c>
    </row>
    <row r="124" spans="4:7" ht="14.65" thickBot="1" x14ac:dyDescent="0.5">
      <c r="D124" s="112"/>
      <c r="E124" s="92"/>
      <c r="F124" s="111"/>
      <c r="G124" s="110"/>
    </row>
    <row r="125" spans="4:7" x14ac:dyDescent="0.45">
      <c r="D125" s="82"/>
      <c r="E125" s="20"/>
      <c r="F125" s="109"/>
      <c r="G125" s="109"/>
    </row>
    <row r="128" spans="4:7" x14ac:dyDescent="0.45">
      <c r="D128" s="7" t="s">
        <v>254</v>
      </c>
      <c r="E128"/>
      <c r="F128"/>
    </row>
    <row r="129" spans="4:7" x14ac:dyDescent="0.45">
      <c r="D129" s="7" t="s">
        <v>255</v>
      </c>
      <c r="E129"/>
      <c r="F129"/>
      <c r="G129" s="108">
        <f ca="1">IFERROR(SUM(INDIRECT("F"&amp;MATCH(DATE(2022,1,DAY(D10)),C:C)):INDIRECT("F"&amp;MATCH(DATE(2022,1,DAY(D10)),C:C)+11)),VALUE("0"))</f>
        <v>-28800</v>
      </c>
    </row>
    <row r="130" spans="4:7" x14ac:dyDescent="0.45">
      <c r="D130" s="7" t="s">
        <v>256</v>
      </c>
      <c r="E130"/>
      <c r="F130"/>
      <c r="G130" s="108">
        <f ca="1">IFERROR(SUM(INDIRECT("F"&amp;MATCH(DATE(2023,1,DAY(D10)),C:C)):F107),VALUE("0"))</f>
        <v>-4800</v>
      </c>
    </row>
  </sheetData>
  <mergeCells count="4">
    <mergeCell ref="D25:H25"/>
    <mergeCell ref="J25:M25"/>
    <mergeCell ref="O25:Q25"/>
    <mergeCell ref="F112:G112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1C1F7-6174-48A1-8993-AC13B26A013B}">
  <dimension ref="A1:R110"/>
  <sheetViews>
    <sheetView topLeftCell="A22" zoomScale="85" zoomScaleNormal="85" workbookViewId="0">
      <selection activeCell="F116" sqref="F116"/>
    </sheetView>
  </sheetViews>
  <sheetFormatPr defaultRowHeight="14.25" x14ac:dyDescent="0.45"/>
  <cols>
    <col min="1" max="1" width="12" customWidth="1"/>
    <col min="2" max="2" width="17.3984375" customWidth="1"/>
    <col min="3" max="3" width="20.3984375" bestFit="1" customWidth="1"/>
    <col min="4" max="4" width="11.1328125" customWidth="1"/>
    <col min="5" max="5" width="20.265625" style="4" customWidth="1"/>
    <col min="6" max="6" width="19.86328125" style="4" customWidth="1"/>
    <col min="7" max="8" width="13" customWidth="1"/>
    <col min="11" max="11" width="14.86328125" customWidth="1"/>
    <col min="13" max="13" width="11.73046875" customWidth="1"/>
    <col min="15" max="15" width="12.73046875" bestFit="1" customWidth="1"/>
    <col min="16" max="16" width="12.3984375" bestFit="1" customWidth="1"/>
    <col min="17" max="17" width="11.1328125" bestFit="1" customWidth="1"/>
  </cols>
  <sheetData>
    <row r="1" spans="2:7" x14ac:dyDescent="0.45">
      <c r="B1" s="11" t="s">
        <v>212</v>
      </c>
      <c r="C1" t="s">
        <v>213</v>
      </c>
    </row>
    <row r="2" spans="2:7" x14ac:dyDescent="0.45">
      <c r="B2" s="11" t="s">
        <v>214</v>
      </c>
      <c r="C2" t="s">
        <v>108</v>
      </c>
    </row>
    <row r="3" spans="2:7" x14ac:dyDescent="0.45">
      <c r="B3" s="11"/>
    </row>
    <row r="4" spans="2:7" x14ac:dyDescent="0.45">
      <c r="B4" s="11"/>
    </row>
    <row r="5" spans="2:7" x14ac:dyDescent="0.45">
      <c r="B5" s="11" t="s">
        <v>212</v>
      </c>
    </row>
    <row r="6" spans="2:7" x14ac:dyDescent="0.45">
      <c r="B6" s="11" t="s">
        <v>215</v>
      </c>
      <c r="C6" t="s">
        <v>216</v>
      </c>
    </row>
    <row r="7" spans="2:7" x14ac:dyDescent="0.45">
      <c r="B7" s="11" t="s">
        <v>217</v>
      </c>
      <c r="C7" s="14" t="s">
        <v>218</v>
      </c>
      <c r="D7" s="3">
        <v>5000</v>
      </c>
    </row>
    <row r="8" spans="2:7" x14ac:dyDescent="0.45">
      <c r="B8" s="11"/>
      <c r="C8" s="14"/>
      <c r="D8" s="3"/>
    </row>
    <row r="9" spans="2:7" x14ac:dyDescent="0.45">
      <c r="B9" s="11"/>
      <c r="D9" s="94" t="s">
        <v>219</v>
      </c>
      <c r="E9" s="94" t="s">
        <v>220</v>
      </c>
      <c r="F9"/>
    </row>
    <row r="10" spans="2:7" x14ac:dyDescent="0.45">
      <c r="B10" s="11" t="s">
        <v>221</v>
      </c>
      <c r="C10" t="s">
        <v>222</v>
      </c>
      <c r="D10" s="12">
        <f>VLOOKUP($C$2,'Lease Summary'!D:H,3,FALSE)</f>
        <v>43885</v>
      </c>
      <c r="E10" s="12">
        <f>VLOOKUP($C$2,'Lease Summary'!D:H,4,FALSE)</f>
        <v>44980</v>
      </c>
      <c r="F10">
        <f>DATEDIF(D10,E10,"m")+1</f>
        <v>36</v>
      </c>
      <c r="G10" t="s">
        <v>223</v>
      </c>
    </row>
    <row r="11" spans="2:7" x14ac:dyDescent="0.45">
      <c r="B11" s="11"/>
      <c r="C11" t="s">
        <v>224</v>
      </c>
      <c r="D11" s="13"/>
      <c r="E11" s="12" t="str">
        <f>VLOOKUP($C$2,'Lease Summary'!D:I,6,FALSE)</f>
        <v>No option to renew</v>
      </c>
      <c r="F11">
        <f>IFERROR(DATEDIF(E10,E11,"m")+1,VALUE("0"))</f>
        <v>0</v>
      </c>
      <c r="G11" t="s">
        <v>223</v>
      </c>
    </row>
    <row r="12" spans="2:7" x14ac:dyDescent="0.45">
      <c r="B12" s="11"/>
      <c r="C12" t="s">
        <v>225</v>
      </c>
      <c r="D12" s="4"/>
      <c r="F12">
        <f>SUM(F10:F11)</f>
        <v>36</v>
      </c>
      <c r="G12" t="s">
        <v>223</v>
      </c>
    </row>
    <row r="13" spans="2:7" x14ac:dyDescent="0.45">
      <c r="B13" s="11"/>
      <c r="C13" t="s">
        <v>226</v>
      </c>
      <c r="D13" s="12">
        <v>44561</v>
      </c>
      <c r="F13">
        <f>DATEDIF(D13,MAX(E10,E11),"m")+1</f>
        <v>14</v>
      </c>
      <c r="G13" t="s">
        <v>223</v>
      </c>
    </row>
    <row r="14" spans="2:7" x14ac:dyDescent="0.45">
      <c r="B14" s="11"/>
      <c r="D14" s="4"/>
      <c r="F14"/>
    </row>
    <row r="15" spans="2:7" x14ac:dyDescent="0.45">
      <c r="B15" s="11" t="s">
        <v>227</v>
      </c>
      <c r="D15" s="4"/>
      <c r="F15" s="10">
        <v>3.5000000000000003E-2</v>
      </c>
      <c r="G15" t="s">
        <v>228</v>
      </c>
    </row>
    <row r="16" spans="2:7" x14ac:dyDescent="0.45">
      <c r="D16" s="4"/>
      <c r="F16" s="10">
        <f>+(1+F15)^(1/12)-1</f>
        <v>2.8708987190766422E-3</v>
      </c>
      <c r="G16" t="s">
        <v>229</v>
      </c>
    </row>
    <row r="17" spans="1:18" x14ac:dyDescent="0.45">
      <c r="D17" s="4"/>
      <c r="F17">
        <f>F12/12</f>
        <v>3</v>
      </c>
      <c r="G17" t="s">
        <v>230</v>
      </c>
    </row>
    <row r="19" spans="1:18" x14ac:dyDescent="0.45">
      <c r="B19" s="9"/>
      <c r="C19" s="9"/>
      <c r="D19" s="8"/>
      <c r="E19" s="8"/>
      <c r="F19" s="8"/>
      <c r="G19" s="8"/>
      <c r="H19" s="50"/>
    </row>
    <row r="20" spans="1:18" x14ac:dyDescent="0.45">
      <c r="B20" s="7"/>
      <c r="C20" s="15" t="s">
        <v>231</v>
      </c>
      <c r="D20" s="21"/>
      <c r="E20" s="21"/>
      <c r="F20" s="37" t="s">
        <v>218</v>
      </c>
      <c r="G20" s="45"/>
      <c r="H20" s="51" t="s">
        <v>218</v>
      </c>
      <c r="J20" s="15" t="s">
        <v>232</v>
      </c>
      <c r="K20" s="21"/>
      <c r="L20" s="63"/>
      <c r="M20" s="51" t="s">
        <v>218</v>
      </c>
      <c r="N20" s="7"/>
      <c r="O20" s="7"/>
      <c r="P20" s="7"/>
      <c r="Q20" s="7"/>
      <c r="R20" s="7"/>
    </row>
    <row r="21" spans="1:18" x14ac:dyDescent="0.45">
      <c r="B21" s="7"/>
      <c r="C21" s="16"/>
      <c r="D21" s="22"/>
      <c r="E21" s="22"/>
      <c r="F21" s="38"/>
      <c r="G21" s="22"/>
      <c r="H21" s="52"/>
      <c r="J21" s="16"/>
      <c r="K21" s="22"/>
      <c r="L21" s="7"/>
      <c r="M21" s="64"/>
      <c r="N21" s="7"/>
      <c r="O21" s="7"/>
      <c r="P21" s="7"/>
      <c r="Q21" s="7"/>
      <c r="R21" s="7"/>
    </row>
    <row r="22" spans="1:18" x14ac:dyDescent="0.45">
      <c r="B22" s="7"/>
      <c r="C22" s="17" t="s">
        <v>233</v>
      </c>
      <c r="D22" s="22"/>
      <c r="E22" s="22"/>
      <c r="F22" s="39">
        <f>D7</f>
        <v>5000</v>
      </c>
      <c r="G22" s="7" t="s">
        <v>229</v>
      </c>
      <c r="H22" s="53">
        <f>-PV(F16,F12,F22,0,1)</f>
        <v>171268.33182798524</v>
      </c>
      <c r="J22" s="17" t="s">
        <v>234</v>
      </c>
      <c r="K22" s="22"/>
      <c r="L22" s="7"/>
      <c r="M22" s="65">
        <f>H22</f>
        <v>171268.33182798524</v>
      </c>
      <c r="N22" s="7"/>
      <c r="O22" s="7"/>
      <c r="P22" s="7"/>
      <c r="Q22" s="7"/>
      <c r="R22" s="7"/>
    </row>
    <row r="23" spans="1:18" x14ac:dyDescent="0.45">
      <c r="B23" s="7"/>
      <c r="C23" s="18"/>
      <c r="D23" s="23"/>
      <c r="E23" s="23"/>
      <c r="F23" s="40"/>
      <c r="G23" s="23"/>
      <c r="H23" s="54"/>
      <c r="J23" s="18"/>
      <c r="K23" s="23"/>
      <c r="L23" s="23"/>
      <c r="M23" s="54"/>
      <c r="N23" s="7"/>
      <c r="O23" s="7"/>
      <c r="P23" s="7"/>
      <c r="Q23" s="7"/>
      <c r="R23" s="7"/>
    </row>
    <row r="24" spans="1:18" x14ac:dyDescent="0.45">
      <c r="A24" s="104"/>
      <c r="B24" s="105"/>
      <c r="C24" s="8"/>
      <c r="D24" s="8"/>
      <c r="E24" s="8"/>
      <c r="F24" s="8"/>
      <c r="G24" s="8"/>
      <c r="H24" s="55"/>
      <c r="J24" s="8"/>
      <c r="K24" s="8"/>
      <c r="L24" s="8"/>
      <c r="M24" s="8"/>
      <c r="N24" s="8"/>
      <c r="O24" s="8"/>
      <c r="P24" s="8"/>
      <c r="Q24" s="8"/>
      <c r="R24" s="8"/>
    </row>
    <row r="25" spans="1:18" ht="14.65" thickBot="1" x14ac:dyDescent="0.5">
      <c r="B25" s="7"/>
      <c r="C25" s="8"/>
      <c r="D25" s="135" t="s">
        <v>235</v>
      </c>
      <c r="E25" s="135"/>
      <c r="F25" s="135"/>
      <c r="G25" s="135"/>
      <c r="H25" s="135"/>
      <c r="J25" s="135" t="s">
        <v>236</v>
      </c>
      <c r="K25" s="135"/>
      <c r="L25" s="135"/>
      <c r="M25" s="135"/>
      <c r="N25" s="8"/>
      <c r="O25" s="135"/>
      <c r="P25" s="135"/>
      <c r="Q25" s="135"/>
      <c r="R25" s="66"/>
    </row>
    <row r="26" spans="1:18" x14ac:dyDescent="0.45">
      <c r="B26" s="103"/>
      <c r="C26" s="32"/>
      <c r="D26" s="24" t="s">
        <v>237</v>
      </c>
      <c r="E26" s="30" t="s">
        <v>238</v>
      </c>
      <c r="F26" s="30" t="s">
        <v>239</v>
      </c>
      <c r="G26" s="30" t="s">
        <v>240</v>
      </c>
      <c r="H26" s="56" t="s">
        <v>241</v>
      </c>
      <c r="J26" s="24" t="s">
        <v>237</v>
      </c>
      <c r="K26" s="30" t="s">
        <v>238</v>
      </c>
      <c r="L26" s="30" t="s">
        <v>28</v>
      </c>
      <c r="M26" s="56" t="s">
        <v>241</v>
      </c>
      <c r="N26" s="8"/>
      <c r="O26" s="67" t="s">
        <v>242</v>
      </c>
      <c r="P26" s="67" t="s">
        <v>243</v>
      </c>
      <c r="Q26" s="67" t="s">
        <v>244</v>
      </c>
      <c r="R26" s="68"/>
    </row>
    <row r="27" spans="1:18" x14ac:dyDescent="0.45">
      <c r="A27" s="104"/>
      <c r="B27" s="7"/>
      <c r="C27" s="32"/>
      <c r="D27" s="25"/>
      <c r="E27" s="31" t="s">
        <v>218</v>
      </c>
      <c r="F27" s="31" t="s">
        <v>218</v>
      </c>
      <c r="G27" s="31" t="s">
        <v>218</v>
      </c>
      <c r="H27" s="57" t="s">
        <v>218</v>
      </c>
      <c r="J27" s="25" t="s">
        <v>218</v>
      </c>
      <c r="K27" s="31" t="s">
        <v>218</v>
      </c>
      <c r="L27" s="31" t="s">
        <v>218</v>
      </c>
      <c r="M27" s="57" t="s">
        <v>218</v>
      </c>
      <c r="N27" s="8"/>
      <c r="O27" s="67" t="s">
        <v>218</v>
      </c>
      <c r="P27" s="67" t="s">
        <v>218</v>
      </c>
      <c r="Q27" s="67" t="s">
        <v>218</v>
      </c>
      <c r="R27" s="68"/>
    </row>
    <row r="28" spans="1:18" ht="14.65" thickBot="1" x14ac:dyDescent="0.5">
      <c r="A28" s="104">
        <f>SUM(B29:B64)</f>
        <v>171268.33182798678</v>
      </c>
      <c r="B28" s="7"/>
      <c r="C28" s="19"/>
      <c r="D28" s="26"/>
      <c r="E28" s="32"/>
      <c r="F28" s="41"/>
      <c r="G28" s="41"/>
      <c r="H28" s="58"/>
      <c r="J28" s="26"/>
      <c r="K28" s="32"/>
      <c r="L28" s="41"/>
      <c r="M28" s="58"/>
      <c r="N28" s="8"/>
      <c r="O28" s="41"/>
      <c r="P28" s="41"/>
      <c r="Q28" s="41"/>
      <c r="R28" s="84"/>
    </row>
    <row r="29" spans="1:18" x14ac:dyDescent="0.45">
      <c r="A29">
        <v>5000</v>
      </c>
      <c r="B29" s="103">
        <f>A29/((1+$F$16)^($F$12-1))</f>
        <v>4522.6604591320265</v>
      </c>
      <c r="C29" s="19">
        <f>D10</f>
        <v>43885</v>
      </c>
      <c r="D29" s="27">
        <v>1</v>
      </c>
      <c r="E29" s="33">
        <f>A28</f>
        <v>171268.33182798678</v>
      </c>
      <c r="F29" s="106">
        <f>-A29</f>
        <v>-5000</v>
      </c>
      <c r="G29" s="46">
        <f>A29-B29</f>
        <v>477.33954086797348</v>
      </c>
      <c r="H29" s="59">
        <f>SUM(E29:G29)</f>
        <v>166745.67136885476</v>
      </c>
      <c r="J29" s="69">
        <f t="shared" ref="J29:J64" si="0">D29</f>
        <v>1</v>
      </c>
      <c r="K29" s="70">
        <f>M22</f>
        <v>171268.33182798524</v>
      </c>
      <c r="L29" s="42">
        <f t="shared" ref="L29:L40" si="1">-$M$22/$F$12</f>
        <v>-4757.4536618884786</v>
      </c>
      <c r="M29" s="71">
        <f t="shared" ref="M29:M64" si="2">K29+L29</f>
        <v>166510.87816609675</v>
      </c>
      <c r="N29" s="32"/>
      <c r="O29" s="72">
        <f>+F29</f>
        <v>-5000</v>
      </c>
      <c r="P29" s="73">
        <f>+G29</f>
        <v>477.33954086797348</v>
      </c>
      <c r="Q29" s="71">
        <f>-L29</f>
        <v>4757.4536618884786</v>
      </c>
      <c r="R29" s="85"/>
    </row>
    <row r="30" spans="1:18" x14ac:dyDescent="0.45">
      <c r="A30">
        <v>5000</v>
      </c>
      <c r="B30" s="103">
        <f>A30/((1+$F$16)^($F$12-2))</f>
        <v>4535.6445592509672</v>
      </c>
      <c r="C30" s="19">
        <f>DATE(YEAR(C29),MONTH(C29)+1,DAY(C29))</f>
        <v>43914</v>
      </c>
      <c r="D30" s="26">
        <f t="shared" ref="D30:D64" si="3">D29+1</f>
        <v>2</v>
      </c>
      <c r="E30" s="34">
        <f t="shared" ref="E30:E64" si="4">H29</f>
        <v>166745.67136885476</v>
      </c>
      <c r="F30" s="107">
        <f t="shared" ref="F30:F64" si="5">-A30</f>
        <v>-5000</v>
      </c>
      <c r="G30" s="47">
        <f t="shared" ref="G30:G64" si="6">A30-B30</f>
        <v>464.35544074903282</v>
      </c>
      <c r="H30" s="60">
        <f t="shared" ref="H30:H64" si="7">SUM(E30:G30)</f>
        <v>162210.02680960379</v>
      </c>
      <c r="J30" s="74">
        <f t="shared" si="0"/>
        <v>2</v>
      </c>
      <c r="K30" s="48">
        <f t="shared" ref="K30:K64" si="8">M29</f>
        <v>166510.87816609675</v>
      </c>
      <c r="L30" s="43">
        <f t="shared" si="1"/>
        <v>-4757.4536618884786</v>
      </c>
      <c r="M30" s="75">
        <f t="shared" si="2"/>
        <v>161753.42450420826</v>
      </c>
      <c r="N30" s="32"/>
      <c r="O30" s="76">
        <f t="shared" ref="O30:P45" si="9">+O29+F30</f>
        <v>-10000</v>
      </c>
      <c r="P30" s="77">
        <f t="shared" si="9"/>
        <v>941.69498161700631</v>
      </c>
      <c r="Q30" s="75">
        <f t="shared" ref="Q30:Q64" si="10">+Q29-L30</f>
        <v>9514.9073237769571</v>
      </c>
      <c r="R30" s="86"/>
    </row>
    <row r="31" spans="1:18" x14ac:dyDescent="0.45">
      <c r="A31">
        <v>5000</v>
      </c>
      <c r="B31" s="103">
        <f>A31/((1+$F$16)^($F$12-3))</f>
        <v>4548.6659354063077</v>
      </c>
      <c r="C31" s="19">
        <f t="shared" ref="C31:C94" si="11">DATE(YEAR(C30),MONTH(C30)+1,DAY(C30))</f>
        <v>43945</v>
      </c>
      <c r="D31" s="26">
        <f t="shared" si="3"/>
        <v>3</v>
      </c>
      <c r="E31" s="34">
        <f t="shared" si="4"/>
        <v>162210.02680960379</v>
      </c>
      <c r="F31" s="107">
        <f t="shared" si="5"/>
        <v>-5000</v>
      </c>
      <c r="G31" s="47">
        <f t="shared" si="6"/>
        <v>451.33406459369235</v>
      </c>
      <c r="H31" s="60">
        <f t="shared" si="7"/>
        <v>157661.36087419747</v>
      </c>
      <c r="J31" s="74">
        <f t="shared" si="0"/>
        <v>3</v>
      </c>
      <c r="K31" s="48">
        <f t="shared" si="8"/>
        <v>161753.42450420826</v>
      </c>
      <c r="L31" s="43">
        <f t="shared" si="1"/>
        <v>-4757.4536618884786</v>
      </c>
      <c r="M31" s="75">
        <f t="shared" si="2"/>
        <v>156995.97084231977</v>
      </c>
      <c r="N31" s="32"/>
      <c r="O31" s="76">
        <f t="shared" si="9"/>
        <v>-15000</v>
      </c>
      <c r="P31" s="39">
        <f t="shared" si="9"/>
        <v>1393.0290462106987</v>
      </c>
      <c r="Q31" s="88">
        <f t="shared" si="10"/>
        <v>14272.360985665437</v>
      </c>
      <c r="R31" s="86"/>
    </row>
    <row r="32" spans="1:18" x14ac:dyDescent="0.45">
      <c r="A32">
        <v>5000</v>
      </c>
      <c r="B32" s="103">
        <f>A32/((1+$F$16)^($F$12-4))</f>
        <v>4561.724694613773</v>
      </c>
      <c r="C32" s="19">
        <f t="shared" si="11"/>
        <v>43975</v>
      </c>
      <c r="D32" s="26">
        <f t="shared" si="3"/>
        <v>4</v>
      </c>
      <c r="E32" s="34">
        <f t="shared" si="4"/>
        <v>157661.36087419747</v>
      </c>
      <c r="F32" s="107">
        <f t="shared" si="5"/>
        <v>-5000</v>
      </c>
      <c r="G32" s="47">
        <f t="shared" si="6"/>
        <v>438.27530538622705</v>
      </c>
      <c r="H32" s="60">
        <f t="shared" si="7"/>
        <v>153099.6361795837</v>
      </c>
      <c r="J32" s="74">
        <f t="shared" si="0"/>
        <v>4</v>
      </c>
      <c r="K32" s="48">
        <f t="shared" si="8"/>
        <v>156995.97084231977</v>
      </c>
      <c r="L32" s="43">
        <f t="shared" si="1"/>
        <v>-4757.4536618884786</v>
      </c>
      <c r="M32" s="75">
        <f t="shared" si="2"/>
        <v>152238.51718043128</v>
      </c>
      <c r="N32" s="32"/>
      <c r="O32" s="76">
        <f t="shared" si="9"/>
        <v>-20000</v>
      </c>
      <c r="P32" s="39">
        <f t="shared" si="9"/>
        <v>1831.3043515969257</v>
      </c>
      <c r="Q32" s="88">
        <f t="shared" si="10"/>
        <v>19029.814647553914</v>
      </c>
      <c r="R32" s="86"/>
    </row>
    <row r="33" spans="1:18" x14ac:dyDescent="0.45">
      <c r="A33">
        <v>5000</v>
      </c>
      <c r="B33" s="103">
        <f>A33/((1+$F$16)^($F$12-5))</f>
        <v>4574.820944196319</v>
      </c>
      <c r="C33" s="19">
        <f t="shared" si="11"/>
        <v>44006</v>
      </c>
      <c r="D33" s="26">
        <f t="shared" si="3"/>
        <v>5</v>
      </c>
      <c r="E33" s="34">
        <f t="shared" si="4"/>
        <v>153099.6361795837</v>
      </c>
      <c r="F33" s="107">
        <f t="shared" si="5"/>
        <v>-5000</v>
      </c>
      <c r="G33" s="47">
        <f t="shared" si="6"/>
        <v>425.17905580368097</v>
      </c>
      <c r="H33" s="60">
        <f t="shared" si="7"/>
        <v>148524.81523538739</v>
      </c>
      <c r="J33" s="74">
        <f t="shared" si="0"/>
        <v>5</v>
      </c>
      <c r="K33" s="48">
        <f t="shared" si="8"/>
        <v>152238.51718043128</v>
      </c>
      <c r="L33" s="43">
        <f t="shared" si="1"/>
        <v>-4757.4536618884786</v>
      </c>
      <c r="M33" s="75">
        <f t="shared" si="2"/>
        <v>147481.0635185428</v>
      </c>
      <c r="N33" s="32"/>
      <c r="O33" s="76">
        <f t="shared" si="9"/>
        <v>-25000</v>
      </c>
      <c r="P33" s="39">
        <f t="shared" si="9"/>
        <v>2256.4834074006067</v>
      </c>
      <c r="Q33" s="88">
        <f t="shared" si="10"/>
        <v>23787.268309442392</v>
      </c>
      <c r="R33" s="86"/>
    </row>
    <row r="34" spans="1:18" x14ac:dyDescent="0.45">
      <c r="A34">
        <v>5000</v>
      </c>
      <c r="B34" s="103">
        <f>A34/((1+$F$16)^($F$12-6))</f>
        <v>4587.9547917850177</v>
      </c>
      <c r="C34" s="19">
        <f t="shared" si="11"/>
        <v>44036</v>
      </c>
      <c r="D34" s="26">
        <f t="shared" si="3"/>
        <v>6</v>
      </c>
      <c r="E34" s="34">
        <f t="shared" si="4"/>
        <v>148524.81523538739</v>
      </c>
      <c r="F34" s="107">
        <f t="shared" si="5"/>
        <v>-5000</v>
      </c>
      <c r="G34" s="47">
        <f t="shared" si="6"/>
        <v>412.04520821498227</v>
      </c>
      <c r="H34" s="60">
        <f t="shared" si="7"/>
        <v>143936.86044360237</v>
      </c>
      <c r="J34" s="74">
        <f t="shared" si="0"/>
        <v>6</v>
      </c>
      <c r="K34" s="48">
        <f t="shared" si="8"/>
        <v>147481.0635185428</v>
      </c>
      <c r="L34" s="43">
        <f t="shared" si="1"/>
        <v>-4757.4536618884786</v>
      </c>
      <c r="M34" s="75">
        <f t="shared" si="2"/>
        <v>142723.60985665431</v>
      </c>
      <c r="N34" s="32"/>
      <c r="O34" s="76">
        <f t="shared" si="9"/>
        <v>-30000</v>
      </c>
      <c r="P34" s="39">
        <f t="shared" si="9"/>
        <v>2668.5286156155889</v>
      </c>
      <c r="Q34" s="88">
        <f t="shared" si="10"/>
        <v>28544.72197133087</v>
      </c>
      <c r="R34" s="86"/>
    </row>
    <row r="35" spans="1:18" x14ac:dyDescent="0.45">
      <c r="A35">
        <v>5000</v>
      </c>
      <c r="B35" s="103">
        <f>A35/((1+$F$16)^($F$12-7))</f>
        <v>4601.1263453199354</v>
      </c>
      <c r="C35" s="19">
        <f t="shared" si="11"/>
        <v>44067</v>
      </c>
      <c r="D35" s="26">
        <f t="shared" si="3"/>
        <v>7</v>
      </c>
      <c r="E35" s="34">
        <f t="shared" si="4"/>
        <v>143936.86044360237</v>
      </c>
      <c r="F35" s="107">
        <f t="shared" si="5"/>
        <v>-5000</v>
      </c>
      <c r="G35" s="47">
        <f t="shared" si="6"/>
        <v>398.87365468006465</v>
      </c>
      <c r="H35" s="60">
        <f t="shared" si="7"/>
        <v>139335.73409828244</v>
      </c>
      <c r="J35" s="74">
        <f t="shared" si="0"/>
        <v>7</v>
      </c>
      <c r="K35" s="48">
        <f t="shared" si="8"/>
        <v>142723.60985665431</v>
      </c>
      <c r="L35" s="43">
        <f t="shared" si="1"/>
        <v>-4757.4536618884786</v>
      </c>
      <c r="M35" s="75">
        <f t="shared" si="2"/>
        <v>137966.15619476582</v>
      </c>
      <c r="N35" s="32"/>
      <c r="O35" s="76">
        <f t="shared" si="9"/>
        <v>-35000</v>
      </c>
      <c r="P35" s="39">
        <f t="shared" si="9"/>
        <v>3067.4022702956536</v>
      </c>
      <c r="Q35" s="88">
        <f t="shared" si="10"/>
        <v>33302.175633219347</v>
      </c>
      <c r="R35" s="86"/>
    </row>
    <row r="36" spans="1:18" x14ac:dyDescent="0.45">
      <c r="A36">
        <v>5000</v>
      </c>
      <c r="B36" s="103">
        <f>A36/((1+$F$16)^($F$12-8))</f>
        <v>4614.335713051023</v>
      </c>
      <c r="C36" s="19">
        <f t="shared" si="11"/>
        <v>44098</v>
      </c>
      <c r="D36" s="26">
        <f t="shared" si="3"/>
        <v>8</v>
      </c>
      <c r="E36" s="34">
        <f t="shared" si="4"/>
        <v>139335.73409828244</v>
      </c>
      <c r="F36" s="107">
        <f t="shared" si="5"/>
        <v>-5000</v>
      </c>
      <c r="G36" s="47">
        <f t="shared" si="6"/>
        <v>385.66428694897695</v>
      </c>
      <c r="H36" s="60">
        <f t="shared" si="7"/>
        <v>134721.39838523141</v>
      </c>
      <c r="J36" s="74">
        <f t="shared" si="0"/>
        <v>8</v>
      </c>
      <c r="K36" s="48">
        <f t="shared" si="8"/>
        <v>137966.15619476582</v>
      </c>
      <c r="L36" s="43">
        <f t="shared" si="1"/>
        <v>-4757.4536618884786</v>
      </c>
      <c r="M36" s="75">
        <f t="shared" si="2"/>
        <v>133208.70253287733</v>
      </c>
      <c r="N36" s="32"/>
      <c r="O36" s="76">
        <f t="shared" si="9"/>
        <v>-40000</v>
      </c>
      <c r="P36" s="39">
        <f t="shared" si="9"/>
        <v>3453.0665572446305</v>
      </c>
      <c r="Q36" s="88">
        <f t="shared" si="10"/>
        <v>38059.629295107829</v>
      </c>
      <c r="R36" s="86"/>
    </row>
    <row r="37" spans="1:18" x14ac:dyDescent="0.45">
      <c r="A37">
        <v>5000</v>
      </c>
      <c r="B37" s="103">
        <f>A37/((1+$F$16)^($F$12-9))</f>
        <v>4627.5830035390118</v>
      </c>
      <c r="C37" s="19">
        <f t="shared" si="11"/>
        <v>44128</v>
      </c>
      <c r="D37" s="26">
        <f t="shared" si="3"/>
        <v>9</v>
      </c>
      <c r="E37" s="34">
        <f t="shared" si="4"/>
        <v>134721.39838523141</v>
      </c>
      <c r="F37" s="107">
        <f t="shared" si="5"/>
        <v>-5000</v>
      </c>
      <c r="G37" s="47">
        <f t="shared" si="6"/>
        <v>372.41699646098823</v>
      </c>
      <c r="H37" s="60">
        <f t="shared" si="7"/>
        <v>130093.8153816924</v>
      </c>
      <c r="J37" s="74">
        <f t="shared" si="0"/>
        <v>9</v>
      </c>
      <c r="K37" s="48">
        <f t="shared" si="8"/>
        <v>133208.70253287733</v>
      </c>
      <c r="L37" s="43">
        <f t="shared" si="1"/>
        <v>-4757.4536618884786</v>
      </c>
      <c r="M37" s="75">
        <f t="shared" si="2"/>
        <v>128451.24887098886</v>
      </c>
      <c r="N37" s="32"/>
      <c r="O37" s="76">
        <f t="shared" si="9"/>
        <v>-45000</v>
      </c>
      <c r="P37" s="39">
        <f t="shared" si="9"/>
        <v>3825.4835537056188</v>
      </c>
      <c r="Q37" s="88">
        <f t="shared" si="10"/>
        <v>42817.08295699631</v>
      </c>
      <c r="R37" s="86"/>
    </row>
    <row r="38" spans="1:18" x14ac:dyDescent="0.45">
      <c r="A38">
        <v>5000</v>
      </c>
      <c r="B38" s="103">
        <f>A38/((1+$F$16)^($F$12-10))</f>
        <v>4640.8683256562927</v>
      </c>
      <c r="C38" s="19">
        <f t="shared" si="11"/>
        <v>44159</v>
      </c>
      <c r="D38" s="26">
        <f t="shared" si="3"/>
        <v>10</v>
      </c>
      <c r="E38" s="34">
        <f t="shared" si="4"/>
        <v>130093.8153816924</v>
      </c>
      <c r="F38" s="107">
        <f t="shared" si="5"/>
        <v>-5000</v>
      </c>
      <c r="G38" s="47">
        <f t="shared" si="6"/>
        <v>359.13167434370735</v>
      </c>
      <c r="H38" s="60">
        <f t="shared" si="7"/>
        <v>125452.94705603611</v>
      </c>
      <c r="J38" s="74">
        <f t="shared" si="0"/>
        <v>10</v>
      </c>
      <c r="K38" s="48">
        <f t="shared" si="8"/>
        <v>128451.24887098886</v>
      </c>
      <c r="L38" s="43">
        <f t="shared" si="1"/>
        <v>-4757.4536618884786</v>
      </c>
      <c r="M38" s="75">
        <f t="shared" si="2"/>
        <v>123693.79520910038</v>
      </c>
      <c r="N38" s="32"/>
      <c r="O38" s="76">
        <f t="shared" si="9"/>
        <v>-50000</v>
      </c>
      <c r="P38" s="39">
        <f t="shared" si="9"/>
        <v>4184.6152280493261</v>
      </c>
      <c r="Q38" s="88">
        <f t="shared" si="10"/>
        <v>47574.536618884791</v>
      </c>
      <c r="R38" s="87"/>
    </row>
    <row r="39" spans="1:18" x14ac:dyDescent="0.45">
      <c r="A39">
        <v>5000</v>
      </c>
      <c r="B39" s="103">
        <f>A39/((1+$F$16)^($F$12-11))</f>
        <v>4654.191788587822</v>
      </c>
      <c r="C39" s="19">
        <f t="shared" si="11"/>
        <v>44189</v>
      </c>
      <c r="D39" s="26">
        <f t="shared" si="3"/>
        <v>11</v>
      </c>
      <c r="E39" s="34">
        <f t="shared" si="4"/>
        <v>125452.94705603611</v>
      </c>
      <c r="F39" s="107">
        <f t="shared" si="5"/>
        <v>-5000</v>
      </c>
      <c r="G39" s="47">
        <f t="shared" si="6"/>
        <v>345.80821141217803</v>
      </c>
      <c r="H39" s="60">
        <f t="shared" si="7"/>
        <v>120798.75526744829</v>
      </c>
      <c r="J39" s="74">
        <f t="shared" si="0"/>
        <v>11</v>
      </c>
      <c r="K39" s="48">
        <f t="shared" si="8"/>
        <v>123693.79520910038</v>
      </c>
      <c r="L39" s="43">
        <f t="shared" si="1"/>
        <v>-4757.4536618884786</v>
      </c>
      <c r="M39" s="75">
        <f t="shared" si="2"/>
        <v>118936.34154721191</v>
      </c>
      <c r="N39" s="32"/>
      <c r="O39" s="76">
        <f t="shared" si="9"/>
        <v>-55000</v>
      </c>
      <c r="P39" s="39">
        <f t="shared" si="9"/>
        <v>4530.4234394615041</v>
      </c>
      <c r="Q39" s="88">
        <f t="shared" si="10"/>
        <v>52331.990280773272</v>
      </c>
      <c r="R39" s="87"/>
    </row>
    <row r="40" spans="1:18" x14ac:dyDescent="0.45">
      <c r="A40">
        <v>5000</v>
      </c>
      <c r="B40" s="103">
        <f>A40/((1+$F$16)^($F$12-12))</f>
        <v>4667.5535018320161</v>
      </c>
      <c r="C40" s="19">
        <f t="shared" si="11"/>
        <v>44220</v>
      </c>
      <c r="D40" s="26">
        <f t="shared" si="3"/>
        <v>12</v>
      </c>
      <c r="E40" s="34">
        <f t="shared" si="4"/>
        <v>120798.75526744829</v>
      </c>
      <c r="F40" s="107">
        <f t="shared" si="5"/>
        <v>-5000</v>
      </c>
      <c r="G40" s="47">
        <f t="shared" si="6"/>
        <v>332.44649816798392</v>
      </c>
      <c r="H40" s="60">
        <f t="shared" si="7"/>
        <v>116131.20176561626</v>
      </c>
      <c r="J40" s="74">
        <f t="shared" si="0"/>
        <v>12</v>
      </c>
      <c r="K40" s="48">
        <f t="shared" si="8"/>
        <v>118936.34154721191</v>
      </c>
      <c r="L40" s="43">
        <f t="shared" si="1"/>
        <v>-4757.4536618884786</v>
      </c>
      <c r="M40" s="75">
        <f t="shared" si="2"/>
        <v>114178.88788532343</v>
      </c>
      <c r="N40" s="32"/>
      <c r="O40" s="76">
        <f t="shared" si="9"/>
        <v>-60000</v>
      </c>
      <c r="P40" s="39">
        <f t="shared" si="9"/>
        <v>4862.869937629488</v>
      </c>
      <c r="Q40" s="88">
        <f t="shared" si="10"/>
        <v>57089.443942661754</v>
      </c>
      <c r="R40" s="87"/>
    </row>
    <row r="41" spans="1:18" x14ac:dyDescent="0.45">
      <c r="A41">
        <v>5000</v>
      </c>
      <c r="B41" s="103">
        <f>A41/((1+$F$16)^($F$12-13))</f>
        <v>4680.9535752016463</v>
      </c>
      <c r="C41" s="19">
        <f t="shared" si="11"/>
        <v>44251</v>
      </c>
      <c r="D41" s="26">
        <f t="shared" si="3"/>
        <v>13</v>
      </c>
      <c r="E41" s="34">
        <f t="shared" si="4"/>
        <v>116131.20176561626</v>
      </c>
      <c r="F41" s="107">
        <f t="shared" si="5"/>
        <v>-5000</v>
      </c>
      <c r="G41" s="47">
        <f t="shared" si="6"/>
        <v>319.04642479835366</v>
      </c>
      <c r="H41" s="60">
        <f t="shared" si="7"/>
        <v>111450.24819041461</v>
      </c>
      <c r="J41" s="74">
        <f t="shared" si="0"/>
        <v>13</v>
      </c>
      <c r="K41" s="48">
        <f t="shared" si="8"/>
        <v>114178.88788532343</v>
      </c>
      <c r="L41" s="43">
        <f t="shared" ref="L41:L64" si="12">-$M$22/$F$12</f>
        <v>-4757.4536618884786</v>
      </c>
      <c r="M41" s="75">
        <f t="shared" si="2"/>
        <v>109421.43422343496</v>
      </c>
      <c r="N41" s="32"/>
      <c r="O41" s="76">
        <f t="shared" si="9"/>
        <v>-65000</v>
      </c>
      <c r="P41" s="39">
        <f t="shared" si="9"/>
        <v>5181.9163624278417</v>
      </c>
      <c r="Q41" s="88">
        <f t="shared" si="10"/>
        <v>61846.897604550235</v>
      </c>
      <c r="R41" s="87"/>
    </row>
    <row r="42" spans="1:18" x14ac:dyDescent="0.45">
      <c r="A42">
        <v>5000</v>
      </c>
      <c r="B42" s="103">
        <f>A42/((1+$F$16)^($F$12-14))</f>
        <v>4694.3921188247505</v>
      </c>
      <c r="C42" s="19">
        <f t="shared" si="11"/>
        <v>44279</v>
      </c>
      <c r="D42" s="26">
        <f t="shared" si="3"/>
        <v>14</v>
      </c>
      <c r="E42" s="34">
        <f t="shared" si="4"/>
        <v>111450.24819041461</v>
      </c>
      <c r="F42" s="107">
        <f t="shared" si="5"/>
        <v>-5000</v>
      </c>
      <c r="G42" s="47">
        <f t="shared" si="6"/>
        <v>305.60788117524953</v>
      </c>
      <c r="H42" s="60">
        <f t="shared" si="7"/>
        <v>106755.85607158986</v>
      </c>
      <c r="J42" s="74">
        <f t="shared" si="0"/>
        <v>14</v>
      </c>
      <c r="K42" s="48">
        <f t="shared" si="8"/>
        <v>109421.43422343496</v>
      </c>
      <c r="L42" s="43">
        <f t="shared" si="12"/>
        <v>-4757.4536618884786</v>
      </c>
      <c r="M42" s="75">
        <f t="shared" si="2"/>
        <v>104663.98056154649</v>
      </c>
      <c r="N42" s="32"/>
      <c r="O42" s="76">
        <f t="shared" si="9"/>
        <v>-70000</v>
      </c>
      <c r="P42" s="39">
        <f t="shared" si="9"/>
        <v>5487.5242436030912</v>
      </c>
      <c r="Q42" s="88">
        <f t="shared" si="10"/>
        <v>66604.351266438709</v>
      </c>
      <c r="R42" s="87"/>
    </row>
    <row r="43" spans="1:18" x14ac:dyDescent="0.45">
      <c r="A43">
        <v>5000</v>
      </c>
      <c r="B43" s="103">
        <f>A43/((1+$F$16)^($F$12-15))</f>
        <v>4707.8692431455283</v>
      </c>
      <c r="C43" s="19">
        <f t="shared" si="11"/>
        <v>44310</v>
      </c>
      <c r="D43" s="26">
        <f t="shared" si="3"/>
        <v>15</v>
      </c>
      <c r="E43" s="34">
        <f t="shared" si="4"/>
        <v>106755.85607158986</v>
      </c>
      <c r="F43" s="107">
        <f t="shared" si="5"/>
        <v>-5000</v>
      </c>
      <c r="G43" s="47">
        <f t="shared" si="6"/>
        <v>292.13075685447166</v>
      </c>
      <c r="H43" s="60">
        <f t="shared" si="7"/>
        <v>102047.98682844434</v>
      </c>
      <c r="J43" s="74">
        <f t="shared" si="0"/>
        <v>15</v>
      </c>
      <c r="K43" s="48">
        <f t="shared" si="8"/>
        <v>104663.98056154649</v>
      </c>
      <c r="L43" s="43">
        <f t="shared" si="12"/>
        <v>-4757.4536618884786</v>
      </c>
      <c r="M43" s="75">
        <f t="shared" si="2"/>
        <v>99906.526899658013</v>
      </c>
      <c r="N43" s="32"/>
      <c r="O43" s="76">
        <f t="shared" si="9"/>
        <v>-75000</v>
      </c>
      <c r="P43" s="39">
        <f t="shared" si="9"/>
        <v>5779.6550004575629</v>
      </c>
      <c r="Q43" s="88">
        <f t="shared" si="10"/>
        <v>71361.804928327183</v>
      </c>
      <c r="R43" s="87"/>
    </row>
    <row r="44" spans="1:18" x14ac:dyDescent="0.45">
      <c r="A44">
        <v>5000</v>
      </c>
      <c r="B44" s="103">
        <f>A44/((1+$F$16)^($F$12-16))</f>
        <v>4721.3850589252543</v>
      </c>
      <c r="C44" s="19">
        <f t="shared" si="11"/>
        <v>44340</v>
      </c>
      <c r="D44" s="26">
        <f t="shared" si="3"/>
        <v>16</v>
      </c>
      <c r="E44" s="34">
        <f t="shared" si="4"/>
        <v>102047.98682844434</v>
      </c>
      <c r="F44" s="107">
        <f t="shared" si="5"/>
        <v>-5000</v>
      </c>
      <c r="G44" s="47">
        <f t="shared" si="6"/>
        <v>278.61494107474573</v>
      </c>
      <c r="H44" s="60">
        <f t="shared" si="7"/>
        <v>97326.601769519082</v>
      </c>
      <c r="J44" s="74">
        <f t="shared" si="0"/>
        <v>16</v>
      </c>
      <c r="K44" s="48">
        <f t="shared" si="8"/>
        <v>99906.526899658013</v>
      </c>
      <c r="L44" s="43">
        <f t="shared" si="12"/>
        <v>-4757.4536618884786</v>
      </c>
      <c r="M44" s="75">
        <f t="shared" si="2"/>
        <v>95149.073237769539</v>
      </c>
      <c r="N44" s="32"/>
      <c r="O44" s="76">
        <f t="shared" si="9"/>
        <v>-80000</v>
      </c>
      <c r="P44" s="39">
        <f t="shared" si="9"/>
        <v>6058.2699415323086</v>
      </c>
      <c r="Q44" s="88">
        <f t="shared" si="10"/>
        <v>76119.258590215657</v>
      </c>
      <c r="R44" s="87"/>
    </row>
    <row r="45" spans="1:18" x14ac:dyDescent="0.45">
      <c r="A45">
        <v>5000</v>
      </c>
      <c r="B45" s="103">
        <f>A45/((1+$F$16)^($F$12-17))</f>
        <v>4734.9396772431901</v>
      </c>
      <c r="C45" s="19">
        <f t="shared" si="11"/>
        <v>44371</v>
      </c>
      <c r="D45" s="26">
        <f t="shared" si="3"/>
        <v>17</v>
      </c>
      <c r="E45" s="34">
        <f t="shared" si="4"/>
        <v>97326.601769519082</v>
      </c>
      <c r="F45" s="107">
        <f t="shared" si="5"/>
        <v>-5000</v>
      </c>
      <c r="G45" s="47">
        <f t="shared" si="6"/>
        <v>265.06032275680991</v>
      </c>
      <c r="H45" s="60">
        <f t="shared" si="7"/>
        <v>92591.662092275888</v>
      </c>
      <c r="J45" s="74">
        <f t="shared" si="0"/>
        <v>17</v>
      </c>
      <c r="K45" s="48">
        <f t="shared" si="8"/>
        <v>95149.073237769539</v>
      </c>
      <c r="L45" s="43">
        <f t="shared" si="12"/>
        <v>-4757.4536618884786</v>
      </c>
      <c r="M45" s="75">
        <f t="shared" si="2"/>
        <v>90391.619575881065</v>
      </c>
      <c r="N45" s="32"/>
      <c r="O45" s="76">
        <f t="shared" si="9"/>
        <v>-85000</v>
      </c>
      <c r="P45" s="39">
        <f t="shared" si="9"/>
        <v>6323.3302642891185</v>
      </c>
      <c r="Q45" s="88">
        <f t="shared" si="10"/>
        <v>80876.712252104131</v>
      </c>
      <c r="R45" s="87"/>
    </row>
    <row r="46" spans="1:18" x14ac:dyDescent="0.45">
      <c r="A46">
        <v>5000</v>
      </c>
      <c r="B46" s="103">
        <f>A46/((1+$F$16)^($F$12-18))</f>
        <v>4748.5332094974938</v>
      </c>
      <c r="C46" s="19">
        <f t="shared" si="11"/>
        <v>44401</v>
      </c>
      <c r="D46" s="26">
        <f t="shared" si="3"/>
        <v>18</v>
      </c>
      <c r="E46" s="34">
        <f t="shared" si="4"/>
        <v>92591.662092275888</v>
      </c>
      <c r="F46" s="107">
        <f t="shared" si="5"/>
        <v>-5000</v>
      </c>
      <c r="G46" s="47">
        <f t="shared" si="6"/>
        <v>251.46679050250623</v>
      </c>
      <c r="H46" s="60">
        <f t="shared" si="7"/>
        <v>87843.128882778401</v>
      </c>
      <c r="J46" s="74">
        <f t="shared" si="0"/>
        <v>18</v>
      </c>
      <c r="K46" s="48">
        <f t="shared" si="8"/>
        <v>90391.619575881065</v>
      </c>
      <c r="L46" s="43">
        <f t="shared" si="12"/>
        <v>-4757.4536618884786</v>
      </c>
      <c r="M46" s="75">
        <f t="shared" si="2"/>
        <v>85634.165913992591</v>
      </c>
      <c r="N46" s="32"/>
      <c r="O46" s="76">
        <f t="shared" ref="O46:P61" si="13">+O45+F46</f>
        <v>-90000</v>
      </c>
      <c r="P46" s="39">
        <f t="shared" si="13"/>
        <v>6574.7970547916248</v>
      </c>
      <c r="Q46" s="88">
        <f t="shared" si="10"/>
        <v>85634.165913992605</v>
      </c>
      <c r="R46" s="87"/>
    </row>
    <row r="47" spans="1:18" x14ac:dyDescent="0.45">
      <c r="A47">
        <v>5000</v>
      </c>
      <c r="B47" s="103">
        <f>A47/((1+$F$16)^($F$12-19))</f>
        <v>4762.1657674061316</v>
      </c>
      <c r="C47" s="19">
        <f t="shared" si="11"/>
        <v>44432</v>
      </c>
      <c r="D47" s="26">
        <f t="shared" si="3"/>
        <v>19</v>
      </c>
      <c r="E47" s="34">
        <f t="shared" si="4"/>
        <v>87843.128882778401</v>
      </c>
      <c r="F47" s="107">
        <f t="shared" si="5"/>
        <v>-5000</v>
      </c>
      <c r="G47" s="47">
        <f t="shared" si="6"/>
        <v>237.83423259386836</v>
      </c>
      <c r="H47" s="60">
        <f t="shared" si="7"/>
        <v>83080.963115372273</v>
      </c>
      <c r="J47" s="74">
        <f t="shared" si="0"/>
        <v>19</v>
      </c>
      <c r="K47" s="48">
        <f t="shared" si="8"/>
        <v>85634.165913992591</v>
      </c>
      <c r="L47" s="43">
        <f t="shared" si="12"/>
        <v>-4757.4536618884786</v>
      </c>
      <c r="M47" s="75">
        <f t="shared" si="2"/>
        <v>80876.712252104116</v>
      </c>
      <c r="N47" s="32"/>
      <c r="O47" s="76">
        <f t="shared" si="13"/>
        <v>-95000</v>
      </c>
      <c r="P47" s="39">
        <f t="shared" si="13"/>
        <v>6812.6312873854931</v>
      </c>
      <c r="Q47" s="88">
        <f t="shared" si="10"/>
        <v>90391.619575881079</v>
      </c>
      <c r="R47" s="87"/>
    </row>
    <row r="48" spans="1:18" x14ac:dyDescent="0.45">
      <c r="A48">
        <v>5000</v>
      </c>
      <c r="B48" s="103">
        <f>A48/((1+$F$16)^($F$12-20))</f>
        <v>4775.8374630078088</v>
      </c>
      <c r="C48" s="19">
        <f t="shared" si="11"/>
        <v>44463</v>
      </c>
      <c r="D48" s="26">
        <f t="shared" si="3"/>
        <v>20</v>
      </c>
      <c r="E48" s="34">
        <f t="shared" si="4"/>
        <v>83080.963115372273</v>
      </c>
      <c r="F48" s="107">
        <f t="shared" si="5"/>
        <v>-5000</v>
      </c>
      <c r="G48" s="47">
        <f t="shared" si="6"/>
        <v>224.16253699219124</v>
      </c>
      <c r="H48" s="60">
        <f t="shared" si="7"/>
        <v>78305.12565236447</v>
      </c>
      <c r="J48" s="74">
        <f t="shared" si="0"/>
        <v>20</v>
      </c>
      <c r="K48" s="48">
        <f t="shared" si="8"/>
        <v>80876.712252104116</v>
      </c>
      <c r="L48" s="43">
        <f t="shared" si="12"/>
        <v>-4757.4536618884786</v>
      </c>
      <c r="M48" s="75">
        <f t="shared" si="2"/>
        <v>76119.258590215642</v>
      </c>
      <c r="N48" s="32"/>
      <c r="O48" s="76">
        <f t="shared" si="13"/>
        <v>-100000</v>
      </c>
      <c r="P48" s="39">
        <f t="shared" si="13"/>
        <v>7036.7938243776844</v>
      </c>
      <c r="Q48" s="88">
        <f t="shared" si="10"/>
        <v>95149.073237769553</v>
      </c>
      <c r="R48" s="87"/>
    </row>
    <row r="49" spans="1:18" x14ac:dyDescent="0.45">
      <c r="A49">
        <v>5000</v>
      </c>
      <c r="B49" s="103">
        <f>A49/((1+$F$16)^($F$12-21))</f>
        <v>4789.5484086628758</v>
      </c>
      <c r="C49" s="19">
        <f t="shared" si="11"/>
        <v>44493</v>
      </c>
      <c r="D49" s="26">
        <f t="shared" si="3"/>
        <v>21</v>
      </c>
      <c r="E49" s="34">
        <f t="shared" si="4"/>
        <v>78305.12565236447</v>
      </c>
      <c r="F49" s="107">
        <f t="shared" si="5"/>
        <v>-5000</v>
      </c>
      <c r="G49" s="47">
        <f t="shared" si="6"/>
        <v>210.45159133712423</v>
      </c>
      <c r="H49" s="60">
        <f t="shared" si="7"/>
        <v>73515.577243701598</v>
      </c>
      <c r="J49" s="74">
        <f t="shared" si="0"/>
        <v>21</v>
      </c>
      <c r="K49" s="48">
        <f t="shared" si="8"/>
        <v>76119.258590215642</v>
      </c>
      <c r="L49" s="43">
        <f t="shared" si="12"/>
        <v>-4757.4536618884786</v>
      </c>
      <c r="M49" s="75">
        <f t="shared" si="2"/>
        <v>71361.804928327168</v>
      </c>
      <c r="N49" s="80"/>
      <c r="O49" s="76">
        <f t="shared" si="13"/>
        <v>-105000</v>
      </c>
      <c r="P49" s="39">
        <f t="shared" si="13"/>
        <v>7247.2454157148086</v>
      </c>
      <c r="Q49" s="88">
        <f t="shared" si="10"/>
        <v>99906.526899658027</v>
      </c>
      <c r="R49" s="87"/>
    </row>
    <row r="50" spans="1:18" x14ac:dyDescent="0.45">
      <c r="A50">
        <v>5000</v>
      </c>
      <c r="B50" s="103">
        <f>A50/((1+$F$16)^($F$12-22))</f>
        <v>4803.2987170542619</v>
      </c>
      <c r="C50" s="19">
        <f t="shared" si="11"/>
        <v>44524</v>
      </c>
      <c r="D50" s="26">
        <f t="shared" si="3"/>
        <v>22</v>
      </c>
      <c r="E50" s="34">
        <f t="shared" si="4"/>
        <v>73515.577243701598</v>
      </c>
      <c r="F50" s="107">
        <f t="shared" si="5"/>
        <v>-5000</v>
      </c>
      <c r="G50" s="47">
        <f t="shared" si="6"/>
        <v>196.70128294573806</v>
      </c>
      <c r="H50" s="60">
        <f t="shared" si="7"/>
        <v>68712.278526647337</v>
      </c>
      <c r="J50" s="74">
        <f t="shared" si="0"/>
        <v>22</v>
      </c>
      <c r="K50" s="48">
        <f t="shared" si="8"/>
        <v>71361.804928327168</v>
      </c>
      <c r="L50" s="43">
        <f t="shared" si="12"/>
        <v>-4757.4536618884786</v>
      </c>
      <c r="M50" s="75">
        <f t="shared" si="2"/>
        <v>66604.351266438694</v>
      </c>
      <c r="N50" s="32"/>
      <c r="O50" s="76">
        <f t="shared" si="13"/>
        <v>-110000</v>
      </c>
      <c r="P50" s="39">
        <f t="shared" si="13"/>
        <v>7443.9466986605466</v>
      </c>
      <c r="Q50" s="88">
        <f t="shared" si="10"/>
        <v>104663.9805615465</v>
      </c>
      <c r="R50" s="32"/>
    </row>
    <row r="51" spans="1:18" x14ac:dyDescent="0.45">
      <c r="A51">
        <v>5000</v>
      </c>
      <c r="B51" s="103">
        <f>A51/((1+$F$16)^($F$12-23))</f>
        <v>4817.0885011883956</v>
      </c>
      <c r="C51" s="19">
        <f t="shared" si="11"/>
        <v>44554</v>
      </c>
      <c r="D51" s="26">
        <f t="shared" si="3"/>
        <v>23</v>
      </c>
      <c r="E51" s="34">
        <f t="shared" si="4"/>
        <v>68712.278526647337</v>
      </c>
      <c r="F51" s="107">
        <f t="shared" si="5"/>
        <v>-5000</v>
      </c>
      <c r="G51" s="47">
        <f t="shared" si="6"/>
        <v>182.91149881160436</v>
      </c>
      <c r="H51" s="60">
        <f t="shared" si="7"/>
        <v>63895.190025458942</v>
      </c>
      <c r="J51" s="74">
        <f t="shared" si="0"/>
        <v>23</v>
      </c>
      <c r="K51" s="48">
        <f t="shared" si="8"/>
        <v>66604.351266438694</v>
      </c>
      <c r="L51" s="43">
        <f t="shared" si="12"/>
        <v>-4757.4536618884786</v>
      </c>
      <c r="M51" s="75">
        <f t="shared" si="2"/>
        <v>61846.897604550213</v>
      </c>
      <c r="N51" s="32"/>
      <c r="O51" s="76">
        <f t="shared" si="13"/>
        <v>-115000</v>
      </c>
      <c r="P51" s="39">
        <f t="shared" si="13"/>
        <v>7626.858197472151</v>
      </c>
      <c r="Q51" s="88">
        <f t="shared" si="10"/>
        <v>109421.43422343498</v>
      </c>
      <c r="R51" s="32"/>
    </row>
    <row r="52" spans="1:18" x14ac:dyDescent="0.45">
      <c r="A52">
        <v>5000</v>
      </c>
      <c r="B52" s="103">
        <f>A52/((1+$F$16)^($F$12-24))</f>
        <v>4830.9178743961356</v>
      </c>
      <c r="C52" s="19">
        <f t="shared" si="11"/>
        <v>44585</v>
      </c>
      <c r="D52" s="26">
        <f t="shared" si="3"/>
        <v>24</v>
      </c>
      <c r="E52" s="34">
        <f t="shared" si="4"/>
        <v>63895.190025458942</v>
      </c>
      <c r="F52" s="107">
        <f t="shared" si="5"/>
        <v>-5000</v>
      </c>
      <c r="G52" s="47">
        <f t="shared" si="6"/>
        <v>169.08212560386437</v>
      </c>
      <c r="H52" s="60">
        <f t="shared" si="7"/>
        <v>59064.272151062803</v>
      </c>
      <c r="J52" s="74">
        <f t="shared" si="0"/>
        <v>24</v>
      </c>
      <c r="K52" s="48">
        <f t="shared" si="8"/>
        <v>61846.897604550213</v>
      </c>
      <c r="L52" s="43">
        <f t="shared" si="12"/>
        <v>-4757.4536618884786</v>
      </c>
      <c r="M52" s="75">
        <f t="shared" si="2"/>
        <v>57089.443942661732</v>
      </c>
      <c r="N52" s="32"/>
      <c r="O52" s="76">
        <f t="shared" si="13"/>
        <v>-120000</v>
      </c>
      <c r="P52" s="39">
        <f t="shared" si="13"/>
        <v>7795.9403230760154</v>
      </c>
      <c r="Q52" s="88">
        <f t="shared" si="10"/>
        <v>114178.88788532345</v>
      </c>
      <c r="R52" s="32"/>
    </row>
    <row r="53" spans="1:18" x14ac:dyDescent="0.45">
      <c r="A53">
        <v>5000</v>
      </c>
      <c r="B53" s="103">
        <f>A53/((1+$F$16)^($F$12-25))</f>
        <v>4844.7869503337042</v>
      </c>
      <c r="C53" s="19">
        <f t="shared" si="11"/>
        <v>44616</v>
      </c>
      <c r="D53" s="26">
        <f t="shared" si="3"/>
        <v>25</v>
      </c>
      <c r="E53" s="34">
        <f t="shared" si="4"/>
        <v>59064.272151062803</v>
      </c>
      <c r="F53" s="107">
        <f t="shared" si="5"/>
        <v>-5000</v>
      </c>
      <c r="G53" s="47">
        <f t="shared" si="6"/>
        <v>155.21304966629577</v>
      </c>
      <c r="H53" s="60">
        <f t="shared" si="7"/>
        <v>54219.485200729097</v>
      </c>
      <c r="J53" s="74">
        <f t="shared" si="0"/>
        <v>25</v>
      </c>
      <c r="K53" s="48">
        <f t="shared" si="8"/>
        <v>57089.443942661732</v>
      </c>
      <c r="L53" s="43">
        <f t="shared" si="12"/>
        <v>-4757.4536618884786</v>
      </c>
      <c r="M53" s="75">
        <f t="shared" si="2"/>
        <v>52331.990280773251</v>
      </c>
      <c r="N53" s="32"/>
      <c r="O53" s="76">
        <f t="shared" si="13"/>
        <v>-125000</v>
      </c>
      <c r="P53" s="39">
        <f t="shared" si="13"/>
        <v>7951.1533727423111</v>
      </c>
      <c r="Q53" s="88">
        <f t="shared" si="10"/>
        <v>118936.34154721192</v>
      </c>
      <c r="R53" s="32"/>
    </row>
    <row r="54" spans="1:18" x14ac:dyDescent="0.45">
      <c r="A54">
        <v>5000</v>
      </c>
      <c r="B54" s="103">
        <f>A54/((1+$F$16)^($F$12-26))</f>
        <v>4858.6958429836159</v>
      </c>
      <c r="C54" s="19">
        <f t="shared" si="11"/>
        <v>44644</v>
      </c>
      <c r="D54" s="26">
        <f t="shared" si="3"/>
        <v>26</v>
      </c>
      <c r="E54" s="34">
        <f t="shared" si="4"/>
        <v>54219.485200729097</v>
      </c>
      <c r="F54" s="107">
        <f t="shared" si="5"/>
        <v>-5000</v>
      </c>
      <c r="G54" s="47">
        <f t="shared" si="6"/>
        <v>141.30415701638412</v>
      </c>
      <c r="H54" s="60">
        <f t="shared" si="7"/>
        <v>49360.789357745482</v>
      </c>
      <c r="J54" s="74">
        <f t="shared" si="0"/>
        <v>26</v>
      </c>
      <c r="K54" s="48">
        <f t="shared" si="8"/>
        <v>52331.990280773251</v>
      </c>
      <c r="L54" s="43">
        <f t="shared" si="12"/>
        <v>-4757.4536618884786</v>
      </c>
      <c r="M54" s="75">
        <f t="shared" si="2"/>
        <v>47574.536618884769</v>
      </c>
      <c r="N54" s="32"/>
      <c r="O54" s="76">
        <f t="shared" si="13"/>
        <v>-130000</v>
      </c>
      <c r="P54" s="39">
        <f t="shared" si="13"/>
        <v>8092.4575297586953</v>
      </c>
      <c r="Q54" s="88">
        <f t="shared" si="10"/>
        <v>123693.7952091004</v>
      </c>
      <c r="R54" s="32"/>
    </row>
    <row r="55" spans="1:18" x14ac:dyDescent="0.45">
      <c r="A55">
        <v>5000</v>
      </c>
      <c r="B55" s="103">
        <f>A55/((1+$F$16)^($F$12-27))</f>
        <v>4872.6446666556203</v>
      </c>
      <c r="C55" s="19">
        <f t="shared" si="11"/>
        <v>44675</v>
      </c>
      <c r="D55" s="26">
        <f t="shared" si="3"/>
        <v>27</v>
      </c>
      <c r="E55" s="34">
        <f t="shared" si="4"/>
        <v>49360.789357745482</v>
      </c>
      <c r="F55" s="107">
        <f t="shared" si="5"/>
        <v>-5000</v>
      </c>
      <c r="G55" s="47">
        <f t="shared" si="6"/>
        <v>127.35533334437969</v>
      </c>
      <c r="H55" s="60">
        <f t="shared" si="7"/>
        <v>44488.144691089859</v>
      </c>
      <c r="J55" s="74">
        <f t="shared" si="0"/>
        <v>27</v>
      </c>
      <c r="K55" s="48">
        <f t="shared" si="8"/>
        <v>47574.536618884769</v>
      </c>
      <c r="L55" s="43">
        <f t="shared" si="12"/>
        <v>-4757.4536618884786</v>
      </c>
      <c r="M55" s="75">
        <f t="shared" si="2"/>
        <v>42817.082956996288</v>
      </c>
      <c r="N55" s="32"/>
      <c r="O55" s="76">
        <f t="shared" si="13"/>
        <v>-135000</v>
      </c>
      <c r="P55" s="39">
        <f t="shared" si="13"/>
        <v>8219.8128631030741</v>
      </c>
      <c r="Q55" s="88">
        <f t="shared" si="10"/>
        <v>128451.24887098887</v>
      </c>
      <c r="R55" s="32"/>
    </row>
    <row r="56" spans="1:18" x14ac:dyDescent="0.45">
      <c r="A56">
        <v>5000</v>
      </c>
      <c r="B56" s="103">
        <f>A56/((1+$F$16)^($F$12-28))</f>
        <v>4886.6335359876375</v>
      </c>
      <c r="C56" s="19">
        <f t="shared" si="11"/>
        <v>44705</v>
      </c>
      <c r="D56" s="26">
        <f t="shared" si="3"/>
        <v>28</v>
      </c>
      <c r="E56" s="34">
        <f t="shared" si="4"/>
        <v>44488.144691089859</v>
      </c>
      <c r="F56" s="107">
        <f t="shared" si="5"/>
        <v>-5000</v>
      </c>
      <c r="G56" s="47">
        <f t="shared" si="6"/>
        <v>113.36646401236248</v>
      </c>
      <c r="H56" s="60">
        <f t="shared" si="7"/>
        <v>39601.51115510222</v>
      </c>
      <c r="J56" s="74">
        <f t="shared" si="0"/>
        <v>28</v>
      </c>
      <c r="K56" s="48">
        <f t="shared" si="8"/>
        <v>42817.082956996288</v>
      </c>
      <c r="L56" s="43">
        <f t="shared" si="12"/>
        <v>-4757.4536618884786</v>
      </c>
      <c r="M56" s="75">
        <f t="shared" si="2"/>
        <v>38059.629295107807</v>
      </c>
      <c r="N56" s="32"/>
      <c r="O56" s="76">
        <f t="shared" si="13"/>
        <v>-140000</v>
      </c>
      <c r="P56" s="39">
        <f t="shared" si="13"/>
        <v>8333.1793271154365</v>
      </c>
      <c r="Q56" s="88">
        <f t="shared" si="10"/>
        <v>133208.70253287736</v>
      </c>
      <c r="R56" s="32"/>
    </row>
    <row r="57" spans="1:18" x14ac:dyDescent="0.45">
      <c r="A57">
        <v>5000</v>
      </c>
      <c r="B57" s="103">
        <f>A57/((1+$F$16)^($F$12-29))</f>
        <v>4900.6625659467009</v>
      </c>
      <c r="C57" s="19">
        <f t="shared" si="11"/>
        <v>44736</v>
      </c>
      <c r="D57" s="26">
        <f t="shared" si="3"/>
        <v>29</v>
      </c>
      <c r="E57" s="34">
        <f t="shared" si="4"/>
        <v>39601.51115510222</v>
      </c>
      <c r="F57" s="107">
        <f t="shared" si="5"/>
        <v>-5000</v>
      </c>
      <c r="G57" s="47">
        <f t="shared" si="6"/>
        <v>99.337434053299148</v>
      </c>
      <c r="H57" s="60">
        <f t="shared" si="7"/>
        <v>34700.848589155517</v>
      </c>
      <c r="J57" s="74">
        <f t="shared" si="0"/>
        <v>29</v>
      </c>
      <c r="K57" s="48">
        <f t="shared" si="8"/>
        <v>38059.629295107807</v>
      </c>
      <c r="L57" s="43">
        <f t="shared" si="12"/>
        <v>-4757.4536618884786</v>
      </c>
      <c r="M57" s="75">
        <f t="shared" si="2"/>
        <v>33302.175633219325</v>
      </c>
      <c r="N57" s="32"/>
      <c r="O57" s="76">
        <f t="shared" si="13"/>
        <v>-145000</v>
      </c>
      <c r="P57" s="39">
        <f t="shared" si="13"/>
        <v>8432.5167611687357</v>
      </c>
      <c r="Q57" s="88">
        <f t="shared" si="10"/>
        <v>137966.15619476585</v>
      </c>
      <c r="R57" s="32"/>
    </row>
    <row r="58" spans="1:18" x14ac:dyDescent="0.45">
      <c r="A58">
        <v>5000</v>
      </c>
      <c r="B58" s="103">
        <f>A58/((1+$F$16)^($F$12-30))</f>
        <v>4914.7318718299048</v>
      </c>
      <c r="C58" s="19">
        <f t="shared" si="11"/>
        <v>44766</v>
      </c>
      <c r="D58" s="26">
        <f t="shared" si="3"/>
        <v>30</v>
      </c>
      <c r="E58" s="34">
        <f t="shared" si="4"/>
        <v>34700.848589155517</v>
      </c>
      <c r="F58" s="107">
        <f t="shared" si="5"/>
        <v>-5000</v>
      </c>
      <c r="G58" s="47">
        <f t="shared" si="6"/>
        <v>85.268128170095224</v>
      </c>
      <c r="H58" s="60">
        <f t="shared" si="7"/>
        <v>29786.116717325611</v>
      </c>
      <c r="J58" s="74">
        <f t="shared" si="0"/>
        <v>30</v>
      </c>
      <c r="K58" s="48">
        <f t="shared" si="8"/>
        <v>33302.175633219325</v>
      </c>
      <c r="L58" s="43">
        <f t="shared" si="12"/>
        <v>-4757.4536618884786</v>
      </c>
      <c r="M58" s="75">
        <f t="shared" si="2"/>
        <v>28544.721971330848</v>
      </c>
      <c r="N58" s="32"/>
      <c r="O58" s="76">
        <f t="shared" si="13"/>
        <v>-150000</v>
      </c>
      <c r="P58" s="39">
        <f t="shared" si="13"/>
        <v>8517.7848893388309</v>
      </c>
      <c r="Q58" s="88">
        <f t="shared" si="10"/>
        <v>142723.60985665434</v>
      </c>
      <c r="R58" s="32"/>
    </row>
    <row r="59" spans="1:18" x14ac:dyDescent="0.45">
      <c r="A59">
        <v>5000</v>
      </c>
      <c r="B59" s="103">
        <f>A59/((1+$F$16)^($F$12-31))</f>
        <v>4928.8415692653462</v>
      </c>
      <c r="C59" s="19">
        <f t="shared" si="11"/>
        <v>44797</v>
      </c>
      <c r="D59" s="26">
        <f t="shared" si="3"/>
        <v>31</v>
      </c>
      <c r="E59" s="34">
        <f t="shared" si="4"/>
        <v>29786.116717325611</v>
      </c>
      <c r="F59" s="107">
        <f t="shared" si="5"/>
        <v>-5000</v>
      </c>
      <c r="G59" s="47">
        <f t="shared" si="6"/>
        <v>71.158430734653848</v>
      </c>
      <c r="H59" s="60">
        <f t="shared" si="7"/>
        <v>24857.275148060264</v>
      </c>
      <c r="J59" s="74">
        <f t="shared" si="0"/>
        <v>31</v>
      </c>
      <c r="K59" s="48">
        <f t="shared" si="8"/>
        <v>28544.721971330848</v>
      </c>
      <c r="L59" s="43">
        <f t="shared" si="12"/>
        <v>-4757.4536618884786</v>
      </c>
      <c r="M59" s="75">
        <f t="shared" si="2"/>
        <v>23787.26830944237</v>
      </c>
      <c r="N59" s="32"/>
      <c r="O59" s="76">
        <f t="shared" si="13"/>
        <v>-155000</v>
      </c>
      <c r="P59" s="39">
        <f t="shared" si="13"/>
        <v>8588.9433200734857</v>
      </c>
      <c r="Q59" s="88">
        <f t="shared" si="10"/>
        <v>147481.06351854283</v>
      </c>
      <c r="R59" s="32"/>
    </row>
    <row r="60" spans="1:18" x14ac:dyDescent="0.45">
      <c r="A60">
        <v>5000</v>
      </c>
      <c r="B60" s="103">
        <f>A60/((1+$F$16)^($F$12-32))</f>
        <v>4942.991774213082</v>
      </c>
      <c r="C60" s="19">
        <f t="shared" si="11"/>
        <v>44828</v>
      </c>
      <c r="D60" s="26">
        <f t="shared" si="3"/>
        <v>32</v>
      </c>
      <c r="E60" s="34">
        <f t="shared" si="4"/>
        <v>24857.275148060264</v>
      </c>
      <c r="F60" s="107">
        <f t="shared" si="5"/>
        <v>-5000</v>
      </c>
      <c r="G60" s="47">
        <f t="shared" si="6"/>
        <v>57.008225786918047</v>
      </c>
      <c r="H60" s="60">
        <f t="shared" si="7"/>
        <v>19914.283373847182</v>
      </c>
      <c r="J60" s="74">
        <f t="shared" si="0"/>
        <v>32</v>
      </c>
      <c r="K60" s="48">
        <f t="shared" si="8"/>
        <v>23787.26830944237</v>
      </c>
      <c r="L60" s="43">
        <f t="shared" si="12"/>
        <v>-4757.4536618884786</v>
      </c>
      <c r="M60" s="75">
        <f t="shared" si="2"/>
        <v>19029.814647553892</v>
      </c>
      <c r="N60" s="32"/>
      <c r="O60" s="76">
        <f t="shared" si="13"/>
        <v>-160000</v>
      </c>
      <c r="P60" s="39">
        <f t="shared" si="13"/>
        <v>8645.9515458604037</v>
      </c>
      <c r="Q60" s="88">
        <f t="shared" si="10"/>
        <v>152238.51718043131</v>
      </c>
      <c r="R60" s="32"/>
    </row>
    <row r="61" spans="1:18" x14ac:dyDescent="0.45">
      <c r="A61">
        <v>5000</v>
      </c>
      <c r="B61" s="103">
        <f>A61/((1+$F$16)^($F$12-33))</f>
        <v>4957.182602966076</v>
      </c>
      <c r="C61" s="19">
        <f t="shared" si="11"/>
        <v>44858</v>
      </c>
      <c r="D61" s="26">
        <f t="shared" si="3"/>
        <v>33</v>
      </c>
      <c r="E61" s="34">
        <f t="shared" si="4"/>
        <v>19914.283373847182</v>
      </c>
      <c r="F61" s="107">
        <f t="shared" si="5"/>
        <v>-5000</v>
      </c>
      <c r="G61" s="47">
        <f t="shared" si="6"/>
        <v>42.817397033923953</v>
      </c>
      <c r="H61" s="60">
        <f t="shared" si="7"/>
        <v>14957.100770881105</v>
      </c>
      <c r="J61" s="74">
        <f t="shared" si="0"/>
        <v>33</v>
      </c>
      <c r="K61" s="48">
        <f t="shared" si="8"/>
        <v>19029.814647553892</v>
      </c>
      <c r="L61" s="43">
        <f t="shared" si="12"/>
        <v>-4757.4536618884786</v>
      </c>
      <c r="M61" s="75">
        <f t="shared" si="2"/>
        <v>14272.360985665415</v>
      </c>
      <c r="N61" s="32"/>
      <c r="O61" s="76">
        <f t="shared" si="13"/>
        <v>-165000</v>
      </c>
      <c r="P61" s="39">
        <f t="shared" si="13"/>
        <v>8688.7689428943268</v>
      </c>
      <c r="Q61" s="88">
        <f t="shared" si="10"/>
        <v>156995.9708423198</v>
      </c>
      <c r="R61" s="32"/>
    </row>
    <row r="62" spans="1:18" x14ac:dyDescent="0.45">
      <c r="A62">
        <v>5000</v>
      </c>
      <c r="B62" s="103">
        <f>A62/((1+$F$16)^($F$12-34))</f>
        <v>4971.4141721511605</v>
      </c>
      <c r="C62" s="19">
        <f t="shared" si="11"/>
        <v>44889</v>
      </c>
      <c r="D62" s="26">
        <f t="shared" si="3"/>
        <v>34</v>
      </c>
      <c r="E62" s="34">
        <f t="shared" si="4"/>
        <v>14957.100770881105</v>
      </c>
      <c r="F62" s="107">
        <f t="shared" si="5"/>
        <v>-5000</v>
      </c>
      <c r="G62" s="47">
        <f t="shared" si="6"/>
        <v>28.585827848839472</v>
      </c>
      <c r="H62" s="60">
        <f t="shared" si="7"/>
        <v>9985.6865987299443</v>
      </c>
      <c r="J62" s="74">
        <f t="shared" si="0"/>
        <v>34</v>
      </c>
      <c r="K62" s="48">
        <f t="shared" si="8"/>
        <v>14272.360985665415</v>
      </c>
      <c r="L62" s="43">
        <f t="shared" si="12"/>
        <v>-4757.4536618884786</v>
      </c>
      <c r="M62" s="75">
        <f t="shared" si="2"/>
        <v>9514.9073237769371</v>
      </c>
      <c r="N62" s="32"/>
      <c r="O62" s="76">
        <f t="shared" ref="O62:P64" si="14">+O61+F62</f>
        <v>-170000</v>
      </c>
      <c r="P62" s="39">
        <f t="shared" si="14"/>
        <v>8717.3547707431662</v>
      </c>
      <c r="Q62" s="88">
        <f t="shared" si="10"/>
        <v>161753.42450420829</v>
      </c>
      <c r="R62" s="32"/>
    </row>
    <row r="63" spans="1:18" x14ac:dyDescent="0.45">
      <c r="A63">
        <v>5000</v>
      </c>
      <c r="B63" s="103">
        <f>A63/((1+$F$16)^($F$12-35))</f>
        <v>4985.6865987299889</v>
      </c>
      <c r="C63" s="19">
        <f t="shared" si="11"/>
        <v>44919</v>
      </c>
      <c r="D63" s="26">
        <f t="shared" si="3"/>
        <v>35</v>
      </c>
      <c r="E63" s="34">
        <f t="shared" si="4"/>
        <v>9985.6865987299443</v>
      </c>
      <c r="F63" s="107">
        <f t="shared" si="5"/>
        <v>-5000</v>
      </c>
      <c r="G63" s="47">
        <f t="shared" si="6"/>
        <v>14.313401270011127</v>
      </c>
      <c r="H63" s="60">
        <f t="shared" si="7"/>
        <v>4999.9999999999554</v>
      </c>
      <c r="J63" s="74">
        <f t="shared" si="0"/>
        <v>35</v>
      </c>
      <c r="K63" s="48">
        <f t="shared" si="8"/>
        <v>9514.9073237769371</v>
      </c>
      <c r="L63" s="43">
        <f t="shared" si="12"/>
        <v>-4757.4536618884786</v>
      </c>
      <c r="M63" s="75">
        <f t="shared" si="2"/>
        <v>4757.4536618884586</v>
      </c>
      <c r="N63" s="32"/>
      <c r="O63" s="76">
        <f t="shared" si="14"/>
        <v>-175000</v>
      </c>
      <c r="P63" s="39">
        <f t="shared" si="14"/>
        <v>8731.6681720131783</v>
      </c>
      <c r="Q63" s="88">
        <f t="shared" si="10"/>
        <v>166510.87816609678</v>
      </c>
      <c r="R63" s="32"/>
    </row>
    <row r="64" spans="1:18" x14ac:dyDescent="0.45">
      <c r="A64">
        <v>5000</v>
      </c>
      <c r="B64" s="103">
        <f>A64/((1+$F$16)^($F$12-36))</f>
        <v>5000</v>
      </c>
      <c r="C64" s="19">
        <f t="shared" si="11"/>
        <v>44950</v>
      </c>
      <c r="D64" s="26">
        <f t="shared" si="3"/>
        <v>36</v>
      </c>
      <c r="E64" s="34">
        <f t="shared" si="4"/>
        <v>4999.9999999999554</v>
      </c>
      <c r="F64" s="107">
        <f t="shared" si="5"/>
        <v>-5000</v>
      </c>
      <c r="G64" s="47">
        <f t="shared" si="6"/>
        <v>0</v>
      </c>
      <c r="H64" s="60">
        <f t="shared" si="7"/>
        <v>-4.4565240386873484E-11</v>
      </c>
      <c r="J64" s="74">
        <f t="shared" si="0"/>
        <v>36</v>
      </c>
      <c r="K64" s="48">
        <f t="shared" si="8"/>
        <v>4757.4536618884586</v>
      </c>
      <c r="L64" s="43">
        <f t="shared" si="12"/>
        <v>-4757.4536618884786</v>
      </c>
      <c r="M64" s="75">
        <f t="shared" si="2"/>
        <v>-2.0008883439004421E-11</v>
      </c>
      <c r="N64" s="32"/>
      <c r="O64" s="76">
        <f t="shared" si="14"/>
        <v>-180000</v>
      </c>
      <c r="P64" s="39">
        <f t="shared" si="14"/>
        <v>8731.6681720131783</v>
      </c>
      <c r="Q64" s="88">
        <f t="shared" si="10"/>
        <v>171268.33182798527</v>
      </c>
      <c r="R64" s="32"/>
    </row>
    <row r="65" spans="2:18" x14ac:dyDescent="0.45">
      <c r="B65" s="7"/>
      <c r="C65" s="19">
        <f t="shared" si="11"/>
        <v>44981</v>
      </c>
      <c r="D65" s="26"/>
      <c r="E65" s="34"/>
      <c r="F65" s="43"/>
      <c r="G65" s="47"/>
      <c r="H65" s="60"/>
      <c r="J65" s="74"/>
      <c r="K65" s="48"/>
      <c r="L65" s="43"/>
      <c r="M65" s="75"/>
      <c r="N65" s="32"/>
      <c r="O65" s="76"/>
      <c r="P65" s="39"/>
      <c r="Q65" s="88"/>
      <c r="R65" s="32"/>
    </row>
    <row r="66" spans="2:18" x14ac:dyDescent="0.45">
      <c r="B66" s="7"/>
      <c r="C66" s="19">
        <f t="shared" si="11"/>
        <v>45009</v>
      </c>
      <c r="D66" s="26"/>
      <c r="E66" s="34"/>
      <c r="F66" s="43"/>
      <c r="G66" s="47"/>
      <c r="H66" s="60"/>
      <c r="J66" s="74"/>
      <c r="K66" s="48"/>
      <c r="L66" s="43"/>
      <c r="M66" s="75"/>
      <c r="N66" s="32"/>
      <c r="O66" s="76"/>
      <c r="P66" s="39"/>
      <c r="Q66" s="88"/>
      <c r="R66" s="32"/>
    </row>
    <row r="67" spans="2:18" x14ac:dyDescent="0.45">
      <c r="B67" s="7"/>
      <c r="C67" s="19">
        <f t="shared" si="11"/>
        <v>45040</v>
      </c>
      <c r="D67" s="26"/>
      <c r="E67" s="34"/>
      <c r="F67" s="43"/>
      <c r="G67" s="47"/>
      <c r="H67" s="60"/>
      <c r="J67" s="74"/>
      <c r="K67" s="48"/>
      <c r="L67" s="43"/>
      <c r="M67" s="75"/>
      <c r="N67" s="32"/>
      <c r="O67" s="76"/>
      <c r="P67" s="39"/>
      <c r="Q67" s="88"/>
      <c r="R67" s="32"/>
    </row>
    <row r="68" spans="2:18" x14ac:dyDescent="0.45">
      <c r="B68" s="7"/>
      <c r="C68" s="19">
        <f t="shared" si="11"/>
        <v>45070</v>
      </c>
      <c r="D68" s="26"/>
      <c r="E68" s="34"/>
      <c r="F68" s="43"/>
      <c r="G68" s="47"/>
      <c r="H68" s="60"/>
      <c r="J68" s="74"/>
      <c r="K68" s="48"/>
      <c r="L68" s="43"/>
      <c r="M68" s="75"/>
      <c r="N68" s="32"/>
      <c r="O68" s="89"/>
      <c r="P68" s="8"/>
      <c r="Q68" s="90"/>
      <c r="R68" s="32"/>
    </row>
    <row r="69" spans="2:18" x14ac:dyDescent="0.45">
      <c r="B69" s="7"/>
      <c r="C69" s="19">
        <f t="shared" si="11"/>
        <v>45101</v>
      </c>
      <c r="D69" s="26"/>
      <c r="E69" s="34"/>
      <c r="F69" s="43"/>
      <c r="G69" s="47"/>
      <c r="H69" s="60"/>
      <c r="J69" s="74"/>
      <c r="K69" s="48"/>
      <c r="L69" s="43"/>
      <c r="M69" s="75"/>
      <c r="N69" s="32"/>
      <c r="O69" s="89"/>
      <c r="P69" s="8"/>
      <c r="Q69" s="90"/>
      <c r="R69" s="32"/>
    </row>
    <row r="70" spans="2:18" x14ac:dyDescent="0.45">
      <c r="B70" s="7"/>
      <c r="C70" s="19">
        <f t="shared" si="11"/>
        <v>45131</v>
      </c>
      <c r="D70" s="26"/>
      <c r="E70" s="34"/>
      <c r="F70" s="43"/>
      <c r="G70" s="47"/>
      <c r="H70" s="60"/>
      <c r="J70" s="74"/>
      <c r="K70" s="48"/>
      <c r="L70" s="43"/>
      <c r="M70" s="75"/>
      <c r="N70" s="32"/>
      <c r="O70" s="89"/>
      <c r="P70" s="8"/>
      <c r="Q70" s="90"/>
      <c r="R70" s="32"/>
    </row>
    <row r="71" spans="2:18" x14ac:dyDescent="0.45">
      <c r="B71" s="7"/>
      <c r="C71" s="19">
        <f t="shared" si="11"/>
        <v>45162</v>
      </c>
      <c r="D71" s="26"/>
      <c r="E71" s="34"/>
      <c r="F71" s="43"/>
      <c r="G71" s="47"/>
      <c r="H71" s="60"/>
      <c r="J71" s="74"/>
      <c r="K71" s="48"/>
      <c r="L71" s="43"/>
      <c r="M71" s="75"/>
      <c r="N71" s="32"/>
      <c r="O71" s="89"/>
      <c r="P71" s="8"/>
      <c r="Q71" s="90"/>
      <c r="R71" s="32"/>
    </row>
    <row r="72" spans="2:18" x14ac:dyDescent="0.45">
      <c r="B72" s="7"/>
      <c r="C72" s="19">
        <f t="shared" si="11"/>
        <v>45193</v>
      </c>
      <c r="D72" s="26"/>
      <c r="E72" s="34"/>
      <c r="F72" s="43"/>
      <c r="G72" s="47"/>
      <c r="H72" s="60"/>
      <c r="J72" s="74"/>
      <c r="K72" s="48"/>
      <c r="L72" s="43"/>
      <c r="M72" s="75"/>
      <c r="N72" s="32"/>
      <c r="O72" s="89"/>
      <c r="P72" s="8"/>
      <c r="Q72" s="90"/>
      <c r="R72" s="32"/>
    </row>
    <row r="73" spans="2:18" x14ac:dyDescent="0.45">
      <c r="B73" s="7"/>
      <c r="C73" s="19">
        <f t="shared" si="11"/>
        <v>45223</v>
      </c>
      <c r="D73" s="26"/>
      <c r="E73" s="34"/>
      <c r="F73" s="43"/>
      <c r="G73" s="47"/>
      <c r="H73" s="60"/>
      <c r="J73" s="74"/>
      <c r="K73" s="48"/>
      <c r="L73" s="43"/>
      <c r="M73" s="75"/>
      <c r="N73" s="32"/>
      <c r="O73" s="89"/>
      <c r="P73" s="8"/>
      <c r="Q73" s="90"/>
      <c r="R73" s="32"/>
    </row>
    <row r="74" spans="2:18" x14ac:dyDescent="0.45">
      <c r="B74" s="7"/>
      <c r="C74" s="19">
        <f t="shared" si="11"/>
        <v>45254</v>
      </c>
      <c r="D74" s="26"/>
      <c r="E74" s="34"/>
      <c r="F74" s="43"/>
      <c r="G74" s="47"/>
      <c r="H74" s="60"/>
      <c r="J74" s="74"/>
      <c r="K74" s="48"/>
      <c r="L74" s="43"/>
      <c r="M74" s="75"/>
      <c r="N74" s="32"/>
      <c r="O74" s="89"/>
      <c r="P74" s="8"/>
      <c r="Q74" s="90"/>
      <c r="R74" s="32"/>
    </row>
    <row r="75" spans="2:18" x14ac:dyDescent="0.45">
      <c r="B75" s="7"/>
      <c r="C75" s="19">
        <f t="shared" si="11"/>
        <v>45284</v>
      </c>
      <c r="D75" s="26"/>
      <c r="E75" s="34"/>
      <c r="F75" s="43"/>
      <c r="G75" s="47"/>
      <c r="H75" s="60"/>
      <c r="J75" s="74"/>
      <c r="K75" s="48"/>
      <c r="L75" s="43"/>
      <c r="M75" s="75"/>
      <c r="N75" s="32"/>
      <c r="O75" s="89"/>
      <c r="P75" s="8"/>
      <c r="Q75" s="90"/>
      <c r="R75" s="32"/>
    </row>
    <row r="76" spans="2:18" x14ac:dyDescent="0.45">
      <c r="B76" s="7"/>
      <c r="C76" s="19">
        <f t="shared" si="11"/>
        <v>45315</v>
      </c>
      <c r="D76" s="26"/>
      <c r="E76" s="34"/>
      <c r="F76" s="43"/>
      <c r="G76" s="47"/>
      <c r="H76" s="60"/>
      <c r="J76" s="74"/>
      <c r="K76" s="48"/>
      <c r="L76" s="43"/>
      <c r="M76" s="75"/>
      <c r="N76" s="32"/>
      <c r="O76" s="89"/>
      <c r="P76" s="8"/>
      <c r="Q76" s="90"/>
      <c r="R76" s="32"/>
    </row>
    <row r="77" spans="2:18" x14ac:dyDescent="0.45">
      <c r="B77" s="7"/>
      <c r="C77" s="19">
        <f t="shared" si="11"/>
        <v>45346</v>
      </c>
      <c r="D77" s="26"/>
      <c r="E77" s="34"/>
      <c r="F77" s="43"/>
      <c r="G77" s="47"/>
      <c r="H77" s="60"/>
      <c r="J77" s="74"/>
      <c r="K77" s="48"/>
      <c r="L77" s="43"/>
      <c r="M77" s="75"/>
      <c r="N77" s="32"/>
      <c r="O77" s="89"/>
      <c r="P77" s="8"/>
      <c r="Q77" s="90"/>
      <c r="R77" s="32"/>
    </row>
    <row r="78" spans="2:18" x14ac:dyDescent="0.45">
      <c r="B78" s="7"/>
      <c r="C78" s="19">
        <f t="shared" si="11"/>
        <v>45375</v>
      </c>
      <c r="D78" s="26"/>
      <c r="E78" s="34"/>
      <c r="F78" s="43"/>
      <c r="G78" s="47"/>
      <c r="H78" s="60"/>
      <c r="J78" s="74"/>
      <c r="K78" s="48"/>
      <c r="L78" s="43"/>
      <c r="M78" s="75"/>
      <c r="N78" s="32"/>
      <c r="O78" s="89"/>
      <c r="P78" s="8"/>
      <c r="Q78" s="90"/>
      <c r="R78" s="32"/>
    </row>
    <row r="79" spans="2:18" x14ac:dyDescent="0.45">
      <c r="B79" s="7"/>
      <c r="C79" s="19">
        <f t="shared" si="11"/>
        <v>45406</v>
      </c>
      <c r="D79" s="26"/>
      <c r="E79" s="34"/>
      <c r="F79" s="43"/>
      <c r="G79" s="47"/>
      <c r="H79" s="60"/>
      <c r="J79" s="74"/>
      <c r="K79" s="48"/>
      <c r="L79" s="43"/>
      <c r="M79" s="75"/>
      <c r="N79" s="32"/>
      <c r="O79" s="89"/>
      <c r="P79" s="8"/>
      <c r="Q79" s="90"/>
      <c r="R79" s="32"/>
    </row>
    <row r="80" spans="2:18" x14ac:dyDescent="0.45">
      <c r="B80" s="7"/>
      <c r="C80" s="19">
        <f t="shared" si="11"/>
        <v>45436</v>
      </c>
      <c r="D80" s="26"/>
      <c r="E80" s="34"/>
      <c r="F80" s="43"/>
      <c r="G80" s="47"/>
      <c r="H80" s="60"/>
      <c r="J80" s="74"/>
      <c r="K80" s="48"/>
      <c r="L80" s="43"/>
      <c r="M80" s="75"/>
      <c r="N80" s="32"/>
      <c r="O80" s="89"/>
      <c r="P80" s="8"/>
      <c r="Q80" s="90"/>
      <c r="R80" s="32"/>
    </row>
    <row r="81" spans="2:18" x14ac:dyDescent="0.45">
      <c r="B81" s="7"/>
      <c r="C81" s="19">
        <f t="shared" si="11"/>
        <v>45467</v>
      </c>
      <c r="D81" s="26"/>
      <c r="E81" s="34"/>
      <c r="F81" s="43"/>
      <c r="G81" s="47"/>
      <c r="H81" s="60"/>
      <c r="J81" s="74"/>
      <c r="K81" s="48"/>
      <c r="L81" s="43"/>
      <c r="M81" s="75"/>
      <c r="N81" s="32"/>
      <c r="O81" s="89"/>
      <c r="P81" s="8"/>
      <c r="Q81" s="90"/>
      <c r="R81" s="32"/>
    </row>
    <row r="82" spans="2:18" x14ac:dyDescent="0.45">
      <c r="B82" s="7"/>
      <c r="C82" s="19">
        <f t="shared" si="11"/>
        <v>45497</v>
      </c>
      <c r="D82" s="26"/>
      <c r="E82" s="34"/>
      <c r="F82" s="43"/>
      <c r="G82" s="47"/>
      <c r="H82" s="60"/>
      <c r="J82" s="74"/>
      <c r="K82" s="48"/>
      <c r="L82" s="43"/>
      <c r="M82" s="75"/>
      <c r="N82" s="32"/>
      <c r="O82" s="89"/>
      <c r="P82" s="8"/>
      <c r="Q82" s="90"/>
      <c r="R82" s="32"/>
    </row>
    <row r="83" spans="2:18" x14ac:dyDescent="0.45">
      <c r="B83" s="7"/>
      <c r="C83" s="19">
        <f t="shared" si="11"/>
        <v>45528</v>
      </c>
      <c r="D83" s="26"/>
      <c r="E83" s="34"/>
      <c r="F83" s="43"/>
      <c r="G83" s="47"/>
      <c r="H83" s="60"/>
      <c r="J83" s="74"/>
      <c r="K83" s="48"/>
      <c r="L83" s="43"/>
      <c r="M83" s="75"/>
      <c r="N83" s="32"/>
      <c r="O83" s="89"/>
      <c r="P83" s="8"/>
      <c r="Q83" s="90"/>
      <c r="R83" s="32"/>
    </row>
    <row r="84" spans="2:18" x14ac:dyDescent="0.45">
      <c r="B84" s="7"/>
      <c r="C84" s="19">
        <f t="shared" si="11"/>
        <v>45559</v>
      </c>
      <c r="D84" s="26"/>
      <c r="E84" s="34"/>
      <c r="F84" s="43"/>
      <c r="G84" s="47"/>
      <c r="H84" s="60"/>
      <c r="J84" s="74"/>
      <c r="K84" s="48"/>
      <c r="L84" s="43"/>
      <c r="M84" s="75"/>
      <c r="N84" s="32"/>
      <c r="O84" s="89"/>
      <c r="P84" s="8"/>
      <c r="Q84" s="90"/>
      <c r="R84" s="32"/>
    </row>
    <row r="85" spans="2:18" x14ac:dyDescent="0.45">
      <c r="B85" s="7"/>
      <c r="C85" s="19">
        <f t="shared" si="11"/>
        <v>45589</v>
      </c>
      <c r="D85" s="26"/>
      <c r="E85" s="34"/>
      <c r="F85" s="43"/>
      <c r="G85" s="47"/>
      <c r="H85" s="60"/>
      <c r="J85" s="74"/>
      <c r="K85" s="48"/>
      <c r="L85" s="43"/>
      <c r="M85" s="75"/>
      <c r="N85" s="32"/>
      <c r="O85" s="89"/>
      <c r="P85" s="8"/>
      <c r="Q85" s="90"/>
      <c r="R85" s="32"/>
    </row>
    <row r="86" spans="2:18" x14ac:dyDescent="0.45">
      <c r="B86" s="7"/>
      <c r="C86" s="19">
        <f t="shared" si="11"/>
        <v>45620</v>
      </c>
      <c r="D86" s="26"/>
      <c r="E86" s="34"/>
      <c r="F86" s="43"/>
      <c r="G86" s="47"/>
      <c r="H86" s="60"/>
      <c r="J86" s="74"/>
      <c r="K86" s="48"/>
      <c r="L86" s="43"/>
      <c r="M86" s="75"/>
      <c r="N86" s="32"/>
      <c r="O86" s="89"/>
      <c r="P86" s="8"/>
      <c r="Q86" s="90"/>
      <c r="R86" s="32"/>
    </row>
    <row r="87" spans="2:18" x14ac:dyDescent="0.45">
      <c r="B87" s="7"/>
      <c r="C87" s="19">
        <f t="shared" si="11"/>
        <v>45650</v>
      </c>
      <c r="D87" s="26"/>
      <c r="E87" s="34"/>
      <c r="F87" s="43"/>
      <c r="G87" s="47"/>
      <c r="H87" s="60"/>
      <c r="J87" s="74"/>
      <c r="K87" s="48"/>
      <c r="L87" s="43"/>
      <c r="M87" s="75"/>
      <c r="N87" s="32"/>
      <c r="O87" s="89"/>
      <c r="P87" s="8"/>
      <c r="Q87" s="90"/>
      <c r="R87" s="32"/>
    </row>
    <row r="88" spans="2:18" x14ac:dyDescent="0.45">
      <c r="B88" s="7"/>
      <c r="C88" s="19">
        <f t="shared" si="11"/>
        <v>45681</v>
      </c>
      <c r="D88" s="26"/>
      <c r="E88" s="34"/>
      <c r="F88" s="43"/>
      <c r="G88" s="47"/>
      <c r="H88" s="60"/>
      <c r="J88" s="74"/>
      <c r="K88" s="48"/>
      <c r="L88" s="43"/>
      <c r="M88" s="75"/>
      <c r="N88" s="32"/>
      <c r="O88" s="89"/>
      <c r="P88" s="8"/>
      <c r="Q88" s="90"/>
      <c r="R88" s="32"/>
    </row>
    <row r="89" spans="2:18" x14ac:dyDescent="0.45">
      <c r="B89" s="7"/>
      <c r="C89" s="19">
        <f t="shared" si="11"/>
        <v>45712</v>
      </c>
      <c r="D89" s="26"/>
      <c r="E89" s="34"/>
      <c r="F89" s="43"/>
      <c r="G89" s="47"/>
      <c r="H89" s="60"/>
      <c r="J89" s="74"/>
      <c r="K89" s="48"/>
      <c r="L89" s="43"/>
      <c r="M89" s="75"/>
      <c r="N89" s="32"/>
      <c r="O89" s="89"/>
      <c r="P89" s="8"/>
      <c r="Q89" s="90"/>
      <c r="R89" s="32"/>
    </row>
    <row r="90" spans="2:18" x14ac:dyDescent="0.45">
      <c r="B90" s="7"/>
      <c r="C90" s="19">
        <f t="shared" si="11"/>
        <v>45740</v>
      </c>
      <c r="D90" s="26"/>
      <c r="E90" s="34"/>
      <c r="F90" s="43"/>
      <c r="G90" s="47"/>
      <c r="H90" s="60"/>
      <c r="J90" s="74"/>
      <c r="K90" s="48"/>
      <c r="L90" s="43"/>
      <c r="M90" s="75"/>
      <c r="N90" s="32"/>
      <c r="O90" s="89"/>
      <c r="P90" s="8"/>
      <c r="Q90" s="90"/>
      <c r="R90" s="32"/>
    </row>
    <row r="91" spans="2:18" x14ac:dyDescent="0.45">
      <c r="B91" s="7"/>
      <c r="C91" s="19">
        <f t="shared" si="11"/>
        <v>45771</v>
      </c>
      <c r="D91" s="26"/>
      <c r="E91" s="34"/>
      <c r="F91" s="43"/>
      <c r="G91" s="47"/>
      <c r="H91" s="60"/>
      <c r="J91" s="74"/>
      <c r="K91" s="48"/>
      <c r="L91" s="43"/>
      <c r="M91" s="75"/>
      <c r="N91" s="32"/>
      <c r="O91" s="89"/>
      <c r="P91" s="8"/>
      <c r="Q91" s="90"/>
      <c r="R91" s="32"/>
    </row>
    <row r="92" spans="2:18" x14ac:dyDescent="0.45">
      <c r="B92" s="7"/>
      <c r="C92" s="19">
        <f t="shared" si="11"/>
        <v>45801</v>
      </c>
      <c r="D92" s="26"/>
      <c r="E92" s="34"/>
      <c r="F92" s="43"/>
      <c r="G92" s="47"/>
      <c r="H92" s="60"/>
      <c r="J92" s="74"/>
      <c r="K92" s="48"/>
      <c r="L92" s="43"/>
      <c r="M92" s="75"/>
      <c r="N92" s="32"/>
      <c r="O92" s="89"/>
      <c r="P92" s="8"/>
      <c r="Q92" s="90"/>
      <c r="R92" s="32"/>
    </row>
    <row r="93" spans="2:18" x14ac:dyDescent="0.45">
      <c r="B93" s="7"/>
      <c r="C93" s="19">
        <f t="shared" si="11"/>
        <v>45832</v>
      </c>
      <c r="D93" s="26"/>
      <c r="E93" s="34"/>
      <c r="F93" s="43"/>
      <c r="G93" s="47"/>
      <c r="H93" s="60"/>
      <c r="J93" s="74"/>
      <c r="K93" s="48"/>
      <c r="L93" s="43"/>
      <c r="M93" s="75"/>
      <c r="N93" s="32"/>
      <c r="O93" s="89"/>
      <c r="P93" s="8"/>
      <c r="Q93" s="90"/>
      <c r="R93" s="32"/>
    </row>
    <row r="94" spans="2:18" x14ac:dyDescent="0.45">
      <c r="B94" s="7"/>
      <c r="C94" s="19">
        <f t="shared" si="11"/>
        <v>45862</v>
      </c>
      <c r="D94" s="26"/>
      <c r="E94" s="34"/>
      <c r="F94" s="43"/>
      <c r="G94" s="47"/>
      <c r="H94" s="60"/>
      <c r="J94" s="74"/>
      <c r="K94" s="48"/>
      <c r="L94" s="43"/>
      <c r="M94" s="75"/>
      <c r="N94" s="32"/>
      <c r="O94" s="89"/>
      <c r="P94" s="8"/>
      <c r="Q94" s="90"/>
      <c r="R94" s="32"/>
    </row>
    <row r="95" spans="2:18" x14ac:dyDescent="0.45">
      <c r="B95" s="7"/>
      <c r="C95" s="19">
        <f t="shared" ref="C95:C107" si="15">DATE(YEAR(C94),MONTH(C94)+1,DAY(C94))</f>
        <v>45893</v>
      </c>
      <c r="D95" s="26"/>
      <c r="E95" s="34"/>
      <c r="F95" s="43"/>
      <c r="G95" s="47"/>
      <c r="H95" s="60"/>
      <c r="J95" s="74"/>
      <c r="K95" s="48"/>
      <c r="L95" s="43"/>
      <c r="M95" s="75"/>
      <c r="N95" s="32"/>
      <c r="O95" s="89"/>
      <c r="P95" s="8"/>
      <c r="Q95" s="90"/>
      <c r="R95" s="32"/>
    </row>
    <row r="96" spans="2:18" x14ac:dyDescent="0.45">
      <c r="B96" s="7"/>
      <c r="C96" s="19">
        <f t="shared" si="15"/>
        <v>45924</v>
      </c>
      <c r="D96" s="26"/>
      <c r="E96" s="34"/>
      <c r="F96" s="43"/>
      <c r="G96" s="47"/>
      <c r="H96" s="60"/>
      <c r="J96" s="74"/>
      <c r="K96" s="48"/>
      <c r="L96" s="43"/>
      <c r="M96" s="75"/>
      <c r="N96" s="32"/>
      <c r="O96" s="89"/>
      <c r="P96" s="8"/>
      <c r="Q96" s="90"/>
      <c r="R96" s="32"/>
    </row>
    <row r="97" spans="2:18" x14ac:dyDescent="0.45">
      <c r="B97" s="7"/>
      <c r="C97" s="19">
        <f t="shared" si="15"/>
        <v>45954</v>
      </c>
      <c r="D97" s="26"/>
      <c r="E97" s="34"/>
      <c r="F97" s="43"/>
      <c r="G97" s="47"/>
      <c r="H97" s="60"/>
      <c r="J97" s="74"/>
      <c r="K97" s="48"/>
      <c r="L97" s="43"/>
      <c r="M97" s="75"/>
      <c r="N97" s="32"/>
      <c r="O97" s="89"/>
      <c r="P97" s="8"/>
      <c r="Q97" s="90"/>
      <c r="R97" s="32"/>
    </row>
    <row r="98" spans="2:18" x14ac:dyDescent="0.45">
      <c r="B98" s="7"/>
      <c r="C98" s="19">
        <f t="shared" si="15"/>
        <v>45985</v>
      </c>
      <c r="D98" s="26"/>
      <c r="E98" s="34"/>
      <c r="F98" s="43"/>
      <c r="G98" s="47"/>
      <c r="H98" s="60"/>
      <c r="J98" s="74"/>
      <c r="K98" s="48"/>
      <c r="L98" s="43"/>
      <c r="M98" s="75"/>
      <c r="N98" s="32"/>
      <c r="O98" s="89"/>
      <c r="P98" s="8"/>
      <c r="Q98" s="90"/>
      <c r="R98" s="32"/>
    </row>
    <row r="99" spans="2:18" x14ac:dyDescent="0.45">
      <c r="B99" s="7"/>
      <c r="C99" s="19">
        <f t="shared" si="15"/>
        <v>46015</v>
      </c>
      <c r="D99" s="26"/>
      <c r="E99" s="34"/>
      <c r="F99" s="43"/>
      <c r="G99" s="47"/>
      <c r="H99" s="60"/>
      <c r="J99" s="74"/>
      <c r="K99" s="48"/>
      <c r="L99" s="43"/>
      <c r="M99" s="75"/>
      <c r="N99" s="32"/>
      <c r="O99" s="89"/>
      <c r="P99" s="8"/>
      <c r="Q99" s="90"/>
      <c r="R99" s="32"/>
    </row>
    <row r="100" spans="2:18" x14ac:dyDescent="0.45">
      <c r="B100" s="7"/>
      <c r="C100" s="19">
        <f t="shared" si="15"/>
        <v>46046</v>
      </c>
      <c r="D100" s="26"/>
      <c r="E100" s="34"/>
      <c r="F100" s="43"/>
      <c r="G100" s="47"/>
      <c r="H100" s="60"/>
      <c r="J100" s="74"/>
      <c r="K100" s="48"/>
      <c r="L100" s="43"/>
      <c r="M100" s="75"/>
      <c r="N100" s="32"/>
      <c r="O100" s="89"/>
      <c r="P100" s="8"/>
      <c r="Q100" s="90"/>
      <c r="R100" s="32"/>
    </row>
    <row r="101" spans="2:18" x14ac:dyDescent="0.45">
      <c r="B101" s="7"/>
      <c r="C101" s="19">
        <f t="shared" si="15"/>
        <v>46077</v>
      </c>
      <c r="D101" s="26"/>
      <c r="E101" s="34"/>
      <c r="F101" s="43"/>
      <c r="G101" s="48"/>
      <c r="H101" s="60"/>
      <c r="J101" s="74"/>
      <c r="K101" s="48"/>
      <c r="L101" s="43"/>
      <c r="M101" s="75"/>
      <c r="N101" s="32"/>
      <c r="O101" s="89"/>
      <c r="P101" s="8"/>
      <c r="Q101" s="90"/>
      <c r="R101" s="32"/>
    </row>
    <row r="102" spans="2:18" x14ac:dyDescent="0.45">
      <c r="B102" s="7"/>
      <c r="C102" s="19">
        <f t="shared" si="15"/>
        <v>46105</v>
      </c>
      <c r="D102" s="26"/>
      <c r="E102" s="34"/>
      <c r="F102" s="43"/>
      <c r="G102" s="48"/>
      <c r="H102" s="60"/>
      <c r="J102" s="74"/>
      <c r="K102" s="48"/>
      <c r="L102" s="43"/>
      <c r="M102" s="75"/>
      <c r="N102" s="32"/>
      <c r="O102" s="89"/>
      <c r="P102" s="8"/>
      <c r="Q102" s="90"/>
      <c r="R102" s="32"/>
    </row>
    <row r="103" spans="2:18" x14ac:dyDescent="0.45">
      <c r="B103" s="7"/>
      <c r="C103" s="19">
        <f t="shared" si="15"/>
        <v>46136</v>
      </c>
      <c r="D103" s="26"/>
      <c r="E103" s="34"/>
      <c r="F103" s="43"/>
      <c r="G103" s="48"/>
      <c r="H103" s="60"/>
      <c r="J103" s="74"/>
      <c r="K103" s="48"/>
      <c r="L103" s="43"/>
      <c r="M103" s="75"/>
      <c r="N103" s="32"/>
      <c r="O103" s="89"/>
      <c r="P103" s="8"/>
      <c r="Q103" s="90"/>
      <c r="R103" s="32"/>
    </row>
    <row r="104" spans="2:18" x14ac:dyDescent="0.45">
      <c r="B104" s="7"/>
      <c r="C104" s="19">
        <f t="shared" si="15"/>
        <v>46166</v>
      </c>
      <c r="D104" s="26"/>
      <c r="E104" s="34"/>
      <c r="F104" s="43"/>
      <c r="G104" s="48"/>
      <c r="H104" s="60"/>
      <c r="J104" s="74"/>
      <c r="K104" s="48"/>
      <c r="L104" s="43"/>
      <c r="M104" s="75"/>
      <c r="N104" s="32"/>
      <c r="O104" s="89"/>
      <c r="P104" s="8"/>
      <c r="Q104" s="90"/>
      <c r="R104" s="32"/>
    </row>
    <row r="105" spans="2:18" x14ac:dyDescent="0.45">
      <c r="B105" s="7"/>
      <c r="C105" s="19">
        <f t="shared" si="15"/>
        <v>46197</v>
      </c>
      <c r="D105" s="26"/>
      <c r="E105" s="34"/>
      <c r="F105" s="43"/>
      <c r="G105" s="48"/>
      <c r="H105" s="60"/>
      <c r="J105" s="74"/>
      <c r="K105" s="48"/>
      <c r="L105" s="43"/>
      <c r="M105" s="75"/>
      <c r="N105" s="32"/>
      <c r="O105" s="89"/>
      <c r="P105" s="8"/>
      <c r="Q105" s="90"/>
      <c r="R105" s="32"/>
    </row>
    <row r="106" spans="2:18" x14ac:dyDescent="0.45">
      <c r="B106" s="7"/>
      <c r="C106" s="19">
        <f t="shared" si="15"/>
        <v>46227</v>
      </c>
      <c r="D106" s="26"/>
      <c r="E106" s="34"/>
      <c r="F106" s="43"/>
      <c r="G106" s="48"/>
      <c r="H106" s="60"/>
      <c r="J106" s="74"/>
      <c r="K106" s="48"/>
      <c r="L106" s="43"/>
      <c r="M106" s="75"/>
      <c r="N106" s="32"/>
      <c r="O106" s="89"/>
      <c r="P106" s="8"/>
      <c r="Q106" s="90"/>
      <c r="R106" s="32"/>
    </row>
    <row r="107" spans="2:18" ht="14.65" thickBot="1" x14ac:dyDescent="0.5">
      <c r="B107" s="7"/>
      <c r="C107" s="19">
        <f t="shared" si="15"/>
        <v>46258</v>
      </c>
      <c r="D107" s="28"/>
      <c r="E107" s="35"/>
      <c r="F107" s="44"/>
      <c r="G107" s="49"/>
      <c r="H107" s="61"/>
      <c r="J107" s="78"/>
      <c r="K107" s="49"/>
      <c r="L107" s="44"/>
      <c r="M107" s="79"/>
      <c r="N107" s="32"/>
      <c r="O107" s="91"/>
      <c r="P107" s="92"/>
      <c r="Q107" s="93"/>
      <c r="R107" s="32"/>
    </row>
    <row r="108" spans="2:18" x14ac:dyDescent="0.45">
      <c r="B108" s="7"/>
      <c r="C108" s="19"/>
      <c r="D108" s="82"/>
      <c r="E108" s="34"/>
      <c r="F108" s="43"/>
      <c r="G108" s="48"/>
      <c r="H108" s="48"/>
      <c r="J108" s="83"/>
      <c r="K108" s="48"/>
      <c r="L108" s="43"/>
      <c r="M108" s="77"/>
      <c r="N108" s="32"/>
      <c r="O108" s="81"/>
      <c r="P108" s="8"/>
      <c r="Q108" s="32"/>
      <c r="R108" s="32"/>
    </row>
    <row r="109" spans="2:18" x14ac:dyDescent="0.45">
      <c r="B109" s="7"/>
      <c r="C109" s="19"/>
      <c r="D109" s="82"/>
      <c r="E109" s="34"/>
      <c r="F109" s="43"/>
      <c r="G109" s="48"/>
      <c r="H109" s="48"/>
      <c r="J109" s="83"/>
      <c r="K109" s="48"/>
      <c r="L109" s="43"/>
      <c r="M109" s="77"/>
      <c r="N109" s="32"/>
      <c r="O109" s="81"/>
      <c r="P109" s="8"/>
      <c r="Q109" s="32"/>
      <c r="R109" s="32"/>
    </row>
    <row r="110" spans="2:18" x14ac:dyDescent="0.45">
      <c r="B110" s="7"/>
      <c r="C110" s="20" t="s">
        <v>245</v>
      </c>
      <c r="D110" s="29"/>
      <c r="E110" s="36">
        <f>SUM(F110:G110)+H22</f>
        <v>-1.57160684466362E-9</v>
      </c>
      <c r="F110" s="43">
        <f>SUM(F29:F107)</f>
        <v>-180000</v>
      </c>
      <c r="G110" s="43">
        <f>SUM(G29:G107)</f>
        <v>8731.6681720131783</v>
      </c>
      <c r="H110" s="62"/>
    </row>
  </sheetData>
  <mergeCells count="3">
    <mergeCell ref="D25:H25"/>
    <mergeCell ref="J25:M25"/>
    <mergeCell ref="O25:Q25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49d5ca-0062-461f-b730-35d8dc5f4282">
      <Terms xmlns="http://schemas.microsoft.com/office/infopath/2007/PartnerControls"/>
    </lcf76f155ced4ddcb4097134ff3c332f>
    <TaxCatchAll xmlns="06061dd9-4d90-4b52-bc32-3353498737d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19A89D7024D4F9CA774A00317A036" ma:contentTypeVersion="16" ma:contentTypeDescription="Create a new document." ma:contentTypeScope="" ma:versionID="84756d0b35a0994da560d356d60583fb">
  <xsd:schema xmlns:xsd="http://www.w3.org/2001/XMLSchema" xmlns:xs="http://www.w3.org/2001/XMLSchema" xmlns:p="http://schemas.microsoft.com/office/2006/metadata/properties" xmlns:ns2="d449d5ca-0062-461f-b730-35d8dc5f4282" xmlns:ns3="06061dd9-4d90-4b52-bc32-3353498737dc" targetNamespace="http://schemas.microsoft.com/office/2006/metadata/properties" ma:root="true" ma:fieldsID="1ca173a47ffdeafee507eb26dc6ad2aa" ns2:_="" ns3:_="">
    <xsd:import namespace="d449d5ca-0062-461f-b730-35d8dc5f4282"/>
    <xsd:import namespace="06061dd9-4d90-4b52-bc32-3353498737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49d5ca-0062-461f-b730-35d8dc5f42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90af3b6d-72d2-4e80-9ad2-691ed63a52f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061dd9-4d90-4b52-bc32-3353498737d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b428076-a4d6-4f97-ad89-84e926dcd671}" ma:internalName="TaxCatchAll" ma:showField="CatchAllData" ma:web="06061dd9-4d90-4b52-bc32-3353498737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1B1E9E-C1E9-45EC-A79A-54DF1406F8D9}">
  <ds:schemaRefs>
    <ds:schemaRef ds:uri="http://schemas.microsoft.com/office/2006/metadata/properties"/>
    <ds:schemaRef ds:uri="http://schemas.microsoft.com/office/infopath/2007/PartnerControls"/>
    <ds:schemaRef ds:uri="d449d5ca-0062-461f-b730-35d8dc5f4282"/>
    <ds:schemaRef ds:uri="06061dd9-4d90-4b52-bc32-3353498737dc"/>
  </ds:schemaRefs>
</ds:datastoreItem>
</file>

<file path=customXml/itemProps2.xml><?xml version="1.0" encoding="utf-8"?>
<ds:datastoreItem xmlns:ds="http://schemas.openxmlformats.org/officeDocument/2006/customXml" ds:itemID="{8A8D27BA-6540-47A0-95DB-1B5A6CD9E0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49d5ca-0062-461f-b730-35d8dc5f4282"/>
    <ds:schemaRef ds:uri="06061dd9-4d90-4b52-bc32-3353498737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8AAF25-38F7-42DC-9665-ECDA70506D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Double Entries</vt:lpstr>
      <vt:lpstr>Lease Summary</vt:lpstr>
      <vt:lpstr>1. Sengkang</vt:lpstr>
      <vt:lpstr>3. Westmall</vt:lpstr>
      <vt:lpstr>4. CTL</vt:lpstr>
      <vt:lpstr>5. City Sq</vt:lpstr>
      <vt:lpstr>8. JEM</vt:lpstr>
      <vt:lpstr>9. PBJ</vt:lpstr>
      <vt:lpstr>10. PSQ</vt:lpstr>
      <vt:lpstr>11. Lot1</vt:lpstr>
      <vt:lpstr>12. KWHFC</vt:lpstr>
      <vt:lpstr>13. JSC</vt:lpstr>
      <vt:lpstr>14. Viva</vt:lpstr>
      <vt:lpstr>15. Figaro</vt:lpstr>
      <vt:lpstr>16. HIM</vt:lpstr>
      <vt:lpstr>17. TMP</vt:lpstr>
      <vt:lpstr>18. CWP</vt:lpstr>
      <vt:lpstr>19. FPH</vt:lpstr>
      <vt:lpstr>20. NPT</vt:lpstr>
      <vt:lpstr>21. FSP</vt:lpstr>
      <vt:lpstr>22. PM HFC</vt:lpstr>
      <vt:lpstr>23. PWP</vt:lpstr>
      <vt:lpstr>25. BRPP</vt:lpstr>
      <vt:lpstr>26. FC</vt:lpstr>
      <vt:lpstr>27. Oriole</vt:lpstr>
      <vt:lpstr>33. Straits</vt:lpstr>
      <vt:lpstr>39. SMU</vt:lpstr>
      <vt:lpstr>41. BDH</vt:lpstr>
      <vt:lpstr>44. 7BL</vt:lpstr>
      <vt:lpstr>45. Westcom</vt:lpstr>
      <vt:lpstr>Example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Derrick How</dc:creator>
  <cp:keywords/>
  <dc:description/>
  <cp:lastModifiedBy>User</cp:lastModifiedBy>
  <cp:revision/>
  <dcterms:created xsi:type="dcterms:W3CDTF">2022-03-15T02:14:41Z</dcterms:created>
  <dcterms:modified xsi:type="dcterms:W3CDTF">2022-06-13T08:42:48Z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0x01010096219A89D7024D4F9CA774A00317A036</vt:lpwstr>
  </property>
  <property fmtid="{D5CDD505-2E9C-101B-9397-08002B2CF9AE}" pid="3" name="MediaServiceImageTags">
    <vt:lpwstr/>
  </property>
</Properties>
</file>