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User\Documents\SurfacetoGoogle\2. Resume and Credentials\5. Portfolio\"/>
    </mc:Choice>
  </mc:AlternateContent>
  <xr:revisionPtr revIDLastSave="0" documentId="13_ncr:1_{6FCF6B4E-12F3-4A35-894F-98E7ED159036}" xr6:coauthVersionLast="47" xr6:coauthVersionMax="47" xr10:uidLastSave="{00000000-0000-0000-0000-000000000000}"/>
  <bookViews>
    <workbookView xWindow="-98" yWindow="-98" windowWidth="20715" windowHeight="13276" tabRatio="696" xr2:uid="{96538D1F-9F0E-41F3-B28E-844AB57E96D7}"/>
  </bookViews>
  <sheets>
    <sheet name="Consol (TB)" sheetId="2" r:id="rId1"/>
    <sheet name="Consol Entries" sheetId="5" r:id="rId2"/>
    <sheet name="Consol (BS)" sheetId="10" r:id="rId3"/>
    <sheet name="Consol (PnL)" sheetId="9" r:id="rId4"/>
    <sheet name="Consol (Cashflow)" sheetId="11" r:id="rId5"/>
    <sheet name="Cashflow Working" sheetId="12" r:id="rId6"/>
    <sheet name="Cashflow Working (Check)" sheetId="17" state="hidden" r:id="rId7"/>
    <sheet name="Acq of Subsidiary - BnC" sheetId="13" r:id="rId8"/>
    <sheet name="Project Toffee" sheetId="16" state="hidden" r:id="rId9"/>
    <sheet name="BnC (TB-Oct21)" sheetId="15" r:id="rId10"/>
    <sheet name="consol_Map" sheetId="8" r:id="rId11"/>
    <sheet name="BnC Profits Recon" sheetId="14" r:id="rId12"/>
    <sheet name="Name Redacted (TB)" sheetId="3" r:id="rId13"/>
    <sheet name="BnC (TB-Dec21)" sheetId="1" r:id="rId14"/>
    <sheet name="bnc_Map" sheetId="4" r:id="rId15"/>
    <sheet name="Nov 2021 Profit" sheetId="6" state="hidden" r:id="rId16"/>
    <sheet name="Test" sheetId="7" r:id="rId17"/>
  </sheets>
  <externalReferences>
    <externalReference r:id="rId18"/>
    <externalReference r:id="rId19"/>
    <externalReference r:id="rId20"/>
    <externalReference r:id="rId21"/>
    <externalReference r:id="rId22"/>
    <externalReference r:id="rId23"/>
    <externalReference r:id="rId24"/>
    <externalReference r:id="rId25"/>
  </externalReferences>
  <definedNames>
    <definedName name="_xlnm._FilterDatabase" localSheetId="6" hidden="1">'Cashflow Working (Check)'!$A$5:$I$131</definedName>
    <definedName name="_xlnm._FilterDatabase" localSheetId="12" hidden="1">'Name Redacted (TB)'!$A$5:$F$228</definedName>
    <definedName name="_xlnm._FilterDatabase" localSheetId="16" hidden="1">Test!$A$1:$B$231</definedName>
    <definedName name="Bank_Code">#REF!</definedName>
    <definedName name="_xlnm.Database">#REF!</definedName>
    <definedName name="DATE">[1]StaticData!#REF!</definedName>
    <definedName name="DB">#REF!</definedName>
    <definedName name="DBName">#REF!</definedName>
    <definedName name="DF_GRID_1">#REF!</definedName>
    <definedName name="DF_NAVPANEL_13">#REF!</definedName>
    <definedName name="DF_NAVPANEL_18">#REF!</definedName>
    <definedName name="FPeriod">#REF!</definedName>
    <definedName name="HOTELS">[1]StaticData!#REF!</definedName>
    <definedName name="HTL">[2]StaticData!$C$11</definedName>
    <definedName name="iju">#REF!</definedName>
    <definedName name="Last_Month">#REF!</definedName>
    <definedName name="LPeriod">#REF!</definedName>
    <definedName name="MMTH">[3]StaticData!$C$3</definedName>
    <definedName name="MTH">[4]StaticData!$C$3</definedName>
    <definedName name="MTHH">[5]StaticData!$C$3</definedName>
    <definedName name="Names">[6]selection!$IP$21:$IQ$30</definedName>
    <definedName name="O_DEPOSIT">'[7]Report(HSS)'!#REF!</definedName>
    <definedName name="Period">#REF!</definedName>
    <definedName name="PreparedBy">[6]selection!$C$9</definedName>
    <definedName name="PREPARERS">[1]StaticData!#REF!</definedName>
    <definedName name="Print_Area_MI">#REF!</definedName>
    <definedName name="Print_Titles_MI">#REF!,#REF!</definedName>
    <definedName name="Ref">[8]selection!$C$11</definedName>
    <definedName name="SAPBEXhrIndnt" hidden="1">"Wide"</definedName>
    <definedName name="SAPsysID" hidden="1">"708C5W7SBKP804JT78WJ0JNKI"</definedName>
    <definedName name="SAPwbID" hidden="1">"ARS"</definedName>
    <definedName name="T">#REF!</definedName>
    <definedName name="TransDate">[6]selection!$C$7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F214" i="3" l="1"/>
  <c r="F213" i="3"/>
  <c r="G213" i="3"/>
  <c r="G214" i="3" s="1"/>
  <c r="I7" i="3"/>
  <c r="I8" i="3"/>
  <c r="I9" i="3"/>
  <c r="I10" i="3"/>
  <c r="I11" i="3"/>
  <c r="I12" i="3"/>
  <c r="I13" i="3"/>
  <c r="I14" i="3"/>
  <c r="I15" i="3"/>
  <c r="I16" i="3"/>
  <c r="I17" i="3"/>
  <c r="I18" i="3"/>
  <c r="I19" i="3"/>
  <c r="I20" i="3"/>
  <c r="I21" i="3"/>
  <c r="I22" i="3"/>
  <c r="I23" i="3"/>
  <c r="I24" i="3"/>
  <c r="I25" i="3"/>
  <c r="I26" i="3"/>
  <c r="I27" i="3"/>
  <c r="I28" i="3"/>
  <c r="I29" i="3"/>
  <c r="I30" i="3"/>
  <c r="I31" i="3"/>
  <c r="I32" i="3"/>
  <c r="I33" i="3"/>
  <c r="I34" i="3"/>
  <c r="I35" i="3"/>
  <c r="I36" i="3"/>
  <c r="I37" i="3"/>
  <c r="I38" i="3"/>
  <c r="I39" i="3"/>
  <c r="I40" i="3"/>
  <c r="I41" i="3"/>
  <c r="I42" i="3"/>
  <c r="I43" i="3"/>
  <c r="I44" i="3"/>
  <c r="I45" i="3"/>
  <c r="I46" i="3"/>
  <c r="I47" i="3"/>
  <c r="I48" i="3"/>
  <c r="I49" i="3"/>
  <c r="I50" i="3"/>
  <c r="I51" i="3"/>
  <c r="I52" i="3"/>
  <c r="I53" i="3"/>
  <c r="I54" i="3"/>
  <c r="I55" i="3"/>
  <c r="I56" i="3"/>
  <c r="I57" i="3"/>
  <c r="I58" i="3"/>
  <c r="I59" i="3"/>
  <c r="I60" i="3"/>
  <c r="I61" i="3"/>
  <c r="I62" i="3"/>
  <c r="I63" i="3"/>
  <c r="I64" i="3"/>
  <c r="I65" i="3"/>
  <c r="I66" i="3"/>
  <c r="I67" i="3"/>
  <c r="I68" i="3"/>
  <c r="I69" i="3"/>
  <c r="I70" i="3"/>
  <c r="I71" i="3"/>
  <c r="I72" i="3"/>
  <c r="I73" i="3"/>
  <c r="I74" i="3"/>
  <c r="I75" i="3"/>
  <c r="I76" i="3"/>
  <c r="I77" i="3"/>
  <c r="I78" i="3"/>
  <c r="I79" i="3"/>
  <c r="I80" i="3"/>
  <c r="I81" i="3"/>
  <c r="I82" i="3"/>
  <c r="I83" i="3"/>
  <c r="I84" i="3"/>
  <c r="I85" i="3"/>
  <c r="I86" i="3"/>
  <c r="I87" i="3"/>
  <c r="I88" i="3"/>
  <c r="I89" i="3"/>
  <c r="I90" i="3"/>
  <c r="I91" i="3"/>
  <c r="I92" i="3"/>
  <c r="I93" i="3"/>
  <c r="I94" i="3"/>
  <c r="I95" i="3"/>
  <c r="I96" i="3"/>
  <c r="I97" i="3"/>
  <c r="I98" i="3"/>
  <c r="I99" i="3"/>
  <c r="I100" i="3"/>
  <c r="I101" i="3"/>
  <c r="I102" i="3"/>
  <c r="I103" i="3"/>
  <c r="I104" i="3"/>
  <c r="I105" i="3"/>
  <c r="I106" i="3"/>
  <c r="I107" i="3"/>
  <c r="I108" i="3"/>
  <c r="I109" i="3"/>
  <c r="I110" i="3"/>
  <c r="I111" i="3"/>
  <c r="I112" i="3"/>
  <c r="I113" i="3"/>
  <c r="I114" i="3"/>
  <c r="I115" i="3"/>
  <c r="I116" i="3"/>
  <c r="I117" i="3"/>
  <c r="I118" i="3"/>
  <c r="I119" i="3"/>
  <c r="I120" i="3"/>
  <c r="I121" i="3"/>
  <c r="I122" i="3"/>
  <c r="I123" i="3"/>
  <c r="I124" i="3"/>
  <c r="I125" i="3"/>
  <c r="I126" i="3"/>
  <c r="I127" i="3"/>
  <c r="I128" i="3"/>
  <c r="I129" i="3"/>
  <c r="I130" i="3"/>
  <c r="I131" i="3"/>
  <c r="I132" i="3"/>
  <c r="I133" i="3"/>
  <c r="I134" i="3"/>
  <c r="I135" i="3"/>
  <c r="I136" i="3"/>
  <c r="I137" i="3"/>
  <c r="I138" i="3"/>
  <c r="I139" i="3"/>
  <c r="I140" i="3"/>
  <c r="I141" i="3"/>
  <c r="I142" i="3"/>
  <c r="I143" i="3"/>
  <c r="I144" i="3"/>
  <c r="I145" i="3"/>
  <c r="I146" i="3"/>
  <c r="I147" i="3"/>
  <c r="I148" i="3"/>
  <c r="I149" i="3"/>
  <c r="I150" i="3"/>
  <c r="I151" i="3"/>
  <c r="I152" i="3"/>
  <c r="I153" i="3"/>
  <c r="I154" i="3"/>
  <c r="I155" i="3"/>
  <c r="I156" i="3"/>
  <c r="I157" i="3"/>
  <c r="I158" i="3"/>
  <c r="I159" i="3"/>
  <c r="I160" i="3"/>
  <c r="I161" i="3"/>
  <c r="I162" i="3"/>
  <c r="I163" i="3"/>
  <c r="I164" i="3"/>
  <c r="I165" i="3"/>
  <c r="I166" i="3"/>
  <c r="I167" i="3"/>
  <c r="I168" i="3"/>
  <c r="I169" i="3"/>
  <c r="I170" i="3"/>
  <c r="I171" i="3"/>
  <c r="I172" i="3"/>
  <c r="I173" i="3"/>
  <c r="I174" i="3"/>
  <c r="I175" i="3"/>
  <c r="I176" i="3"/>
  <c r="I177" i="3"/>
  <c r="I178" i="3"/>
  <c r="I179" i="3"/>
  <c r="I180" i="3"/>
  <c r="I181" i="3"/>
  <c r="I182" i="3"/>
  <c r="I183" i="3"/>
  <c r="I184" i="3"/>
  <c r="I185" i="3"/>
  <c r="I186" i="3"/>
  <c r="I187" i="3"/>
  <c r="I188" i="3"/>
  <c r="I189" i="3"/>
  <c r="I190" i="3"/>
  <c r="I191" i="3"/>
  <c r="I192" i="3"/>
  <c r="I193" i="3"/>
  <c r="I194" i="3"/>
  <c r="I195" i="3"/>
  <c r="I196" i="3"/>
  <c r="I197" i="3"/>
  <c r="I198" i="3"/>
  <c r="I199" i="3"/>
  <c r="I200" i="3"/>
  <c r="I201" i="3"/>
  <c r="I202" i="3"/>
  <c r="I203" i="3"/>
  <c r="I204" i="3"/>
  <c r="I205" i="3"/>
  <c r="I206" i="3"/>
  <c r="I207" i="3"/>
  <c r="I208" i="3"/>
  <c r="I209" i="3"/>
  <c r="I210" i="3"/>
  <c r="I211" i="3"/>
  <c r="I212" i="3"/>
  <c r="I213" i="3"/>
  <c r="I214" i="3"/>
  <c r="I215" i="3"/>
  <c r="I216" i="3"/>
  <c r="I217" i="3"/>
  <c r="I218" i="3"/>
  <c r="I219" i="3"/>
  <c r="I220" i="3"/>
  <c r="I221" i="3"/>
  <c r="I222" i="3"/>
  <c r="I223" i="3"/>
  <c r="I224" i="3"/>
  <c r="I225" i="3"/>
  <c r="I226" i="3"/>
  <c r="I227" i="3"/>
  <c r="I228" i="3"/>
  <c r="I229" i="3"/>
  <c r="I230" i="3"/>
  <c r="I231" i="3"/>
  <c r="I232" i="3"/>
  <c r="I233" i="3"/>
  <c r="I234" i="3"/>
  <c r="I235" i="3"/>
  <c r="I236" i="3"/>
  <c r="I237" i="3"/>
  <c r="I238" i="3"/>
  <c r="I239" i="3"/>
  <c r="I240" i="3"/>
  <c r="I241" i="3"/>
  <c r="I242" i="3"/>
  <c r="I243" i="3"/>
  <c r="I244" i="3"/>
  <c r="I245" i="3"/>
  <c r="I246" i="3"/>
  <c r="I247" i="3"/>
  <c r="I248" i="3"/>
  <c r="I249" i="3"/>
  <c r="I250" i="3"/>
  <c r="I251" i="3"/>
  <c r="I252" i="3"/>
  <c r="I253" i="3"/>
  <c r="I254" i="3"/>
  <c r="I255" i="3"/>
  <c r="I256" i="3"/>
  <c r="I257" i="3"/>
  <c r="I258" i="3"/>
  <c r="I259" i="3"/>
  <c r="I260" i="3"/>
  <c r="I261" i="3"/>
  <c r="I262" i="3"/>
  <c r="I263" i="3"/>
  <c r="I264" i="3"/>
  <c r="I265" i="3"/>
  <c r="I266" i="3"/>
  <c r="I267" i="3"/>
  <c r="I268" i="3"/>
  <c r="I269" i="3"/>
  <c r="I270" i="3"/>
  <c r="I271" i="3"/>
  <c r="I272" i="3"/>
  <c r="I273" i="3"/>
  <c r="I274" i="3"/>
  <c r="I275" i="3"/>
  <c r="I276" i="3"/>
  <c r="I277" i="3"/>
  <c r="I278" i="3"/>
  <c r="I279" i="3"/>
  <c r="I280" i="3"/>
  <c r="I281" i="3"/>
  <c r="I282" i="3"/>
  <c r="I283" i="3"/>
  <c r="I284" i="3"/>
  <c r="I285" i="3"/>
  <c r="I286" i="3"/>
  <c r="I287" i="3"/>
  <c r="I288" i="3"/>
  <c r="I289" i="3"/>
  <c r="I290" i="3"/>
  <c r="I291" i="3"/>
  <c r="I292" i="3"/>
  <c r="I293" i="3"/>
  <c r="I294" i="3"/>
  <c r="I295" i="3"/>
  <c r="I296" i="3"/>
  <c r="I297" i="3"/>
  <c r="I298" i="3"/>
  <c r="I299" i="3"/>
  <c r="I300" i="3"/>
  <c r="I301" i="3"/>
  <c r="I302" i="3"/>
  <c r="I303" i="3"/>
  <c r="I304" i="3"/>
  <c r="I305" i="3"/>
  <c r="I306" i="3"/>
  <c r="I307" i="3"/>
  <c r="I308" i="3"/>
  <c r="I309" i="3"/>
  <c r="I310" i="3"/>
  <c r="I311" i="3"/>
  <c r="I312" i="3"/>
  <c r="I313" i="3"/>
  <c r="I314" i="3"/>
  <c r="I315" i="3"/>
  <c r="I316" i="3"/>
  <c r="I317" i="3"/>
  <c r="I318" i="3"/>
  <c r="I319" i="3"/>
  <c r="I320" i="3"/>
  <c r="I321" i="3"/>
  <c r="I322" i="3"/>
  <c r="I323" i="3"/>
  <c r="I324" i="3"/>
  <c r="I325" i="3"/>
  <c r="I326" i="3"/>
  <c r="I327" i="3"/>
  <c r="I328" i="3"/>
  <c r="I329" i="3"/>
  <c r="I330" i="3"/>
  <c r="I331" i="3"/>
  <c r="I332" i="3"/>
  <c r="I333" i="3"/>
  <c r="I334" i="3"/>
  <c r="I335" i="3"/>
  <c r="I336" i="3"/>
  <c r="I337" i="3"/>
  <c r="I338" i="3"/>
  <c r="I339" i="3"/>
  <c r="I340" i="3"/>
  <c r="I341" i="3"/>
  <c r="I342" i="3"/>
  <c r="I343" i="3"/>
  <c r="I344" i="3"/>
  <c r="I345" i="3"/>
  <c r="I346" i="3"/>
  <c r="I347" i="3"/>
  <c r="I348" i="3"/>
  <c r="I349" i="3"/>
  <c r="I350" i="3"/>
  <c r="I351" i="3"/>
  <c r="I6" i="3"/>
  <c r="K7" i="3"/>
  <c r="K8" i="3"/>
  <c r="K9" i="3"/>
  <c r="K10" i="3"/>
  <c r="K11" i="3"/>
  <c r="K12" i="3"/>
  <c r="K13" i="3"/>
  <c r="K14" i="3"/>
  <c r="K15" i="3"/>
  <c r="K16" i="3"/>
  <c r="K17" i="3"/>
  <c r="K18" i="3"/>
  <c r="K19" i="3"/>
  <c r="K20" i="3"/>
  <c r="K21" i="3"/>
  <c r="K22" i="3"/>
  <c r="K23" i="3"/>
  <c r="K24" i="3"/>
  <c r="K25" i="3"/>
  <c r="K26" i="3"/>
  <c r="K27" i="3"/>
  <c r="K28" i="3"/>
  <c r="K29" i="3"/>
  <c r="K30" i="3"/>
  <c r="K31" i="3"/>
  <c r="K32" i="3"/>
  <c r="K33" i="3"/>
  <c r="K34" i="3"/>
  <c r="K35" i="3"/>
  <c r="K36" i="3"/>
  <c r="K37" i="3"/>
  <c r="K38" i="3"/>
  <c r="K39" i="3"/>
  <c r="K40" i="3"/>
  <c r="K41" i="3"/>
  <c r="K42" i="3"/>
  <c r="K43" i="3"/>
  <c r="K44" i="3"/>
  <c r="K45" i="3"/>
  <c r="K46" i="3"/>
  <c r="K47" i="3"/>
  <c r="K48" i="3"/>
  <c r="K49" i="3"/>
  <c r="K50" i="3"/>
  <c r="K51" i="3"/>
  <c r="K52" i="3"/>
  <c r="K53" i="3"/>
  <c r="K54" i="3"/>
  <c r="K55" i="3"/>
  <c r="K56" i="3"/>
  <c r="K57" i="3"/>
  <c r="K58" i="3"/>
  <c r="K59" i="3"/>
  <c r="K60" i="3"/>
  <c r="K61" i="3"/>
  <c r="K62" i="3"/>
  <c r="K63" i="3"/>
  <c r="K64" i="3"/>
  <c r="K65" i="3"/>
  <c r="K66" i="3"/>
  <c r="K67" i="3"/>
  <c r="K68" i="3"/>
  <c r="K69" i="3"/>
  <c r="K70" i="3"/>
  <c r="K71" i="3"/>
  <c r="K72" i="3"/>
  <c r="K73" i="3"/>
  <c r="K74" i="3"/>
  <c r="K75" i="3"/>
  <c r="K76" i="3"/>
  <c r="K77" i="3"/>
  <c r="K78" i="3"/>
  <c r="K79" i="3"/>
  <c r="K80" i="3"/>
  <c r="K81" i="3"/>
  <c r="K82" i="3"/>
  <c r="K83" i="3"/>
  <c r="K84" i="3"/>
  <c r="K85" i="3"/>
  <c r="K86" i="3"/>
  <c r="K87" i="3"/>
  <c r="K88" i="3"/>
  <c r="K89" i="3"/>
  <c r="K90" i="3"/>
  <c r="K91" i="3"/>
  <c r="K92" i="3"/>
  <c r="K93" i="3"/>
  <c r="K94" i="3"/>
  <c r="K95" i="3"/>
  <c r="K96" i="3"/>
  <c r="K97" i="3"/>
  <c r="K98" i="3"/>
  <c r="K99" i="3"/>
  <c r="K100" i="3"/>
  <c r="K101" i="3"/>
  <c r="K102" i="3"/>
  <c r="K103" i="3"/>
  <c r="K104" i="3"/>
  <c r="K105" i="3"/>
  <c r="K106" i="3"/>
  <c r="K107" i="3"/>
  <c r="K108" i="3"/>
  <c r="K109" i="3"/>
  <c r="K110" i="3"/>
  <c r="K111" i="3"/>
  <c r="K112" i="3"/>
  <c r="K113" i="3"/>
  <c r="K114" i="3"/>
  <c r="K115" i="3"/>
  <c r="K116" i="3"/>
  <c r="K117" i="3"/>
  <c r="K118" i="3"/>
  <c r="K119" i="3"/>
  <c r="K120" i="3"/>
  <c r="K121" i="3"/>
  <c r="K122" i="3"/>
  <c r="K123" i="3"/>
  <c r="K124" i="3"/>
  <c r="K125" i="3"/>
  <c r="K126" i="3"/>
  <c r="K127" i="3"/>
  <c r="K128" i="3"/>
  <c r="K129" i="3"/>
  <c r="K130" i="3"/>
  <c r="K131" i="3"/>
  <c r="K132" i="3"/>
  <c r="K133" i="3"/>
  <c r="K134" i="3"/>
  <c r="K135" i="3"/>
  <c r="K136" i="3"/>
  <c r="K137" i="3"/>
  <c r="K138" i="3"/>
  <c r="K139" i="3"/>
  <c r="K140" i="3"/>
  <c r="K141" i="3"/>
  <c r="K142" i="3"/>
  <c r="K143" i="3"/>
  <c r="K144" i="3"/>
  <c r="K145" i="3"/>
  <c r="K146" i="3"/>
  <c r="K147" i="3"/>
  <c r="K148" i="3"/>
  <c r="K149" i="3"/>
  <c r="K150" i="3"/>
  <c r="K151" i="3"/>
  <c r="K152" i="3"/>
  <c r="K153" i="3"/>
  <c r="K154" i="3"/>
  <c r="K155" i="3"/>
  <c r="K156" i="3"/>
  <c r="K157" i="3"/>
  <c r="K158" i="3"/>
  <c r="K159" i="3"/>
  <c r="K160" i="3"/>
  <c r="K161" i="3"/>
  <c r="K162" i="3"/>
  <c r="K163" i="3"/>
  <c r="K164" i="3"/>
  <c r="K165" i="3"/>
  <c r="K166" i="3"/>
  <c r="K167" i="3"/>
  <c r="K168" i="3"/>
  <c r="K169" i="3"/>
  <c r="K170" i="3"/>
  <c r="K171" i="3"/>
  <c r="K172" i="3"/>
  <c r="K173" i="3"/>
  <c r="K174" i="3"/>
  <c r="K175" i="3"/>
  <c r="K176" i="3"/>
  <c r="K177" i="3"/>
  <c r="K178" i="3"/>
  <c r="K179" i="3"/>
  <c r="K180" i="3"/>
  <c r="K181" i="3"/>
  <c r="K182" i="3"/>
  <c r="K183" i="3"/>
  <c r="K184" i="3"/>
  <c r="K185" i="3"/>
  <c r="K186" i="3"/>
  <c r="K187" i="3"/>
  <c r="K188" i="3"/>
  <c r="K189" i="3"/>
  <c r="K190" i="3"/>
  <c r="K191" i="3"/>
  <c r="K192" i="3"/>
  <c r="K193" i="3"/>
  <c r="K194" i="3"/>
  <c r="K195" i="3"/>
  <c r="K196" i="3"/>
  <c r="K197" i="3"/>
  <c r="K198" i="3"/>
  <c r="K199" i="3"/>
  <c r="K200" i="3"/>
  <c r="K201" i="3"/>
  <c r="K202" i="3"/>
  <c r="K203" i="3"/>
  <c r="K204" i="3"/>
  <c r="K205" i="3"/>
  <c r="K206" i="3"/>
  <c r="K207" i="3"/>
  <c r="K208" i="3"/>
  <c r="K209" i="3"/>
  <c r="K210" i="3"/>
  <c r="K211" i="3"/>
  <c r="K212" i="3"/>
  <c r="K213" i="3"/>
  <c r="K214" i="3"/>
  <c r="K215" i="3"/>
  <c r="K216" i="3"/>
  <c r="K217" i="3"/>
  <c r="K218" i="3"/>
  <c r="K219" i="3"/>
  <c r="K220" i="3"/>
  <c r="K221" i="3"/>
  <c r="K222" i="3"/>
  <c r="K223" i="3"/>
  <c r="K224" i="3"/>
  <c r="K225" i="3"/>
  <c r="K226" i="3"/>
  <c r="K227" i="3"/>
  <c r="K228" i="3"/>
  <c r="K229" i="3"/>
  <c r="K230" i="3"/>
  <c r="K231" i="3"/>
  <c r="K232" i="3"/>
  <c r="K233" i="3"/>
  <c r="K234" i="3"/>
  <c r="K235" i="3"/>
  <c r="K236" i="3"/>
  <c r="K237" i="3"/>
  <c r="K238" i="3"/>
  <c r="K239" i="3"/>
  <c r="K240" i="3"/>
  <c r="K241" i="3"/>
  <c r="K242" i="3"/>
  <c r="K243" i="3"/>
  <c r="K244" i="3"/>
  <c r="K245" i="3"/>
  <c r="K246" i="3"/>
  <c r="K247" i="3"/>
  <c r="K248" i="3"/>
  <c r="K249" i="3"/>
  <c r="K250" i="3"/>
  <c r="K251" i="3"/>
  <c r="K252" i="3"/>
  <c r="K253" i="3"/>
  <c r="K254" i="3"/>
  <c r="K255" i="3"/>
  <c r="K256" i="3"/>
  <c r="K257" i="3"/>
  <c r="K258" i="3"/>
  <c r="K259" i="3"/>
  <c r="K260" i="3"/>
  <c r="K261" i="3"/>
  <c r="K262" i="3"/>
  <c r="K263" i="3"/>
  <c r="K264" i="3"/>
  <c r="K265" i="3"/>
  <c r="K266" i="3"/>
  <c r="K267" i="3"/>
  <c r="K268" i="3"/>
  <c r="K269" i="3"/>
  <c r="K270" i="3"/>
  <c r="K271" i="3"/>
  <c r="K272" i="3"/>
  <c r="K273" i="3"/>
  <c r="K274" i="3"/>
  <c r="K275" i="3"/>
  <c r="K276" i="3"/>
  <c r="K277" i="3"/>
  <c r="K278" i="3"/>
  <c r="K279" i="3"/>
  <c r="K280" i="3"/>
  <c r="K281" i="3"/>
  <c r="K282" i="3"/>
  <c r="K283" i="3"/>
  <c r="K284" i="3"/>
  <c r="K285" i="3"/>
  <c r="K286" i="3"/>
  <c r="K287" i="3"/>
  <c r="K288" i="3"/>
  <c r="K289" i="3"/>
  <c r="K290" i="3"/>
  <c r="K291" i="3"/>
  <c r="K292" i="3"/>
  <c r="K293" i="3"/>
  <c r="K294" i="3"/>
  <c r="K295" i="3"/>
  <c r="K296" i="3"/>
  <c r="K297" i="3"/>
  <c r="K298" i="3"/>
  <c r="K299" i="3"/>
  <c r="K300" i="3"/>
  <c r="K301" i="3"/>
  <c r="K302" i="3"/>
  <c r="K303" i="3"/>
  <c r="K304" i="3"/>
  <c r="K305" i="3"/>
  <c r="K306" i="3"/>
  <c r="K307" i="3"/>
  <c r="K308" i="3"/>
  <c r="K309" i="3"/>
  <c r="K310" i="3"/>
  <c r="K311" i="3"/>
  <c r="K312" i="3"/>
  <c r="K313" i="3"/>
  <c r="K314" i="3"/>
  <c r="K315" i="3"/>
  <c r="K316" i="3"/>
  <c r="K317" i="3"/>
  <c r="K318" i="3"/>
  <c r="K319" i="3"/>
  <c r="K320" i="3"/>
  <c r="K321" i="3"/>
  <c r="K322" i="3"/>
  <c r="K323" i="3"/>
  <c r="K324" i="3"/>
  <c r="K325" i="3"/>
  <c r="K326" i="3"/>
  <c r="K327" i="3"/>
  <c r="K328" i="3"/>
  <c r="K329" i="3"/>
  <c r="K330" i="3"/>
  <c r="K331" i="3"/>
  <c r="K332" i="3"/>
  <c r="K333" i="3"/>
  <c r="K334" i="3"/>
  <c r="K335" i="3"/>
  <c r="K336" i="3"/>
  <c r="K337" i="3"/>
  <c r="K338" i="3"/>
  <c r="K339" i="3"/>
  <c r="K340" i="3"/>
  <c r="K341" i="3"/>
  <c r="K342" i="3"/>
  <c r="K343" i="3"/>
  <c r="K344" i="3"/>
  <c r="K345" i="3"/>
  <c r="K346" i="3"/>
  <c r="K347" i="3"/>
  <c r="K348" i="3"/>
  <c r="K349" i="3"/>
  <c r="K350" i="3"/>
  <c r="K351" i="3"/>
  <c r="K6" i="3"/>
  <c r="H7" i="3"/>
  <c r="H8" i="3"/>
  <c r="H9" i="3"/>
  <c r="H10" i="3"/>
  <c r="H11" i="3"/>
  <c r="H12" i="3"/>
  <c r="H13" i="3"/>
  <c r="H14" i="3"/>
  <c r="H15" i="3"/>
  <c r="H16" i="3"/>
  <c r="H17" i="3"/>
  <c r="H18" i="3"/>
  <c r="H19" i="3"/>
  <c r="H20" i="3"/>
  <c r="H21" i="3"/>
  <c r="H22" i="3"/>
  <c r="H23" i="3"/>
  <c r="H24" i="3"/>
  <c r="H25" i="3"/>
  <c r="H26" i="3"/>
  <c r="H27" i="3"/>
  <c r="H28" i="3"/>
  <c r="H29" i="3"/>
  <c r="H30" i="3"/>
  <c r="H31" i="3"/>
  <c r="H32" i="3"/>
  <c r="H33" i="3"/>
  <c r="H34" i="3"/>
  <c r="H35" i="3"/>
  <c r="H36" i="3"/>
  <c r="H37" i="3"/>
  <c r="H38" i="3"/>
  <c r="H39" i="3"/>
  <c r="H40" i="3"/>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69" i="3"/>
  <c r="H70" i="3"/>
  <c r="H71" i="3"/>
  <c r="H72" i="3"/>
  <c r="H73" i="3"/>
  <c r="H74" i="3"/>
  <c r="H75" i="3"/>
  <c r="H76" i="3"/>
  <c r="H77" i="3"/>
  <c r="H78" i="3"/>
  <c r="H79" i="3"/>
  <c r="H80" i="3"/>
  <c r="H81" i="3"/>
  <c r="H82" i="3"/>
  <c r="H83" i="3"/>
  <c r="H84" i="3"/>
  <c r="H85" i="3"/>
  <c r="H86" i="3"/>
  <c r="H87" i="3"/>
  <c r="H88" i="3"/>
  <c r="H89" i="3"/>
  <c r="H90" i="3"/>
  <c r="H91" i="3"/>
  <c r="H92" i="3"/>
  <c r="H93" i="3"/>
  <c r="H94" i="3"/>
  <c r="H95" i="3"/>
  <c r="H96" i="3"/>
  <c r="H97" i="3"/>
  <c r="H98" i="3"/>
  <c r="H99" i="3"/>
  <c r="H100" i="3"/>
  <c r="H101" i="3"/>
  <c r="H102" i="3"/>
  <c r="H103" i="3"/>
  <c r="H104" i="3"/>
  <c r="H105" i="3"/>
  <c r="H106" i="3"/>
  <c r="H107" i="3"/>
  <c r="H108" i="3"/>
  <c r="H109" i="3"/>
  <c r="H110" i="3"/>
  <c r="H111" i="3"/>
  <c r="H112" i="3"/>
  <c r="H113" i="3"/>
  <c r="H114" i="3"/>
  <c r="H115" i="3"/>
  <c r="H116" i="3"/>
  <c r="H117" i="3"/>
  <c r="H118" i="3"/>
  <c r="H119" i="3"/>
  <c r="H120" i="3"/>
  <c r="H121" i="3"/>
  <c r="H122" i="3"/>
  <c r="H123" i="3"/>
  <c r="H124" i="3"/>
  <c r="H125" i="3"/>
  <c r="H126" i="3"/>
  <c r="H127" i="3"/>
  <c r="H128" i="3"/>
  <c r="H129" i="3"/>
  <c r="H130" i="3"/>
  <c r="H131" i="3"/>
  <c r="H132" i="3"/>
  <c r="H133" i="3"/>
  <c r="H134" i="3"/>
  <c r="H135" i="3"/>
  <c r="H136" i="3"/>
  <c r="H137" i="3"/>
  <c r="H138" i="3"/>
  <c r="H139" i="3"/>
  <c r="H140" i="3"/>
  <c r="H141" i="3"/>
  <c r="H142" i="3"/>
  <c r="H143" i="3"/>
  <c r="H144" i="3"/>
  <c r="H145" i="3"/>
  <c r="H146" i="3"/>
  <c r="H147" i="3"/>
  <c r="H148" i="3"/>
  <c r="H149" i="3"/>
  <c r="H150" i="3"/>
  <c r="H151" i="3"/>
  <c r="H152" i="3"/>
  <c r="H153" i="3"/>
  <c r="H154" i="3"/>
  <c r="H155" i="3"/>
  <c r="H156" i="3"/>
  <c r="H157" i="3"/>
  <c r="H158" i="3"/>
  <c r="H159" i="3"/>
  <c r="H160" i="3"/>
  <c r="H161" i="3"/>
  <c r="H162" i="3"/>
  <c r="H163" i="3"/>
  <c r="H164" i="3"/>
  <c r="H165" i="3"/>
  <c r="H166" i="3"/>
  <c r="H167" i="3"/>
  <c r="H168" i="3"/>
  <c r="H169" i="3"/>
  <c r="H170" i="3"/>
  <c r="H171" i="3"/>
  <c r="H172" i="3"/>
  <c r="H173" i="3"/>
  <c r="H174" i="3"/>
  <c r="H175" i="3"/>
  <c r="H176" i="3"/>
  <c r="H177" i="3"/>
  <c r="H178" i="3"/>
  <c r="H179" i="3"/>
  <c r="H180" i="3"/>
  <c r="H181" i="3"/>
  <c r="H182" i="3"/>
  <c r="H183" i="3"/>
  <c r="H184" i="3"/>
  <c r="H185" i="3"/>
  <c r="H186" i="3"/>
  <c r="H187" i="3"/>
  <c r="H188" i="3"/>
  <c r="H189" i="3"/>
  <c r="H190" i="3"/>
  <c r="H191" i="3"/>
  <c r="H192" i="3"/>
  <c r="H193" i="3"/>
  <c r="H194" i="3"/>
  <c r="H195" i="3"/>
  <c r="H196" i="3"/>
  <c r="H197" i="3"/>
  <c r="H198" i="3"/>
  <c r="H199" i="3"/>
  <c r="H200" i="3"/>
  <c r="H201" i="3"/>
  <c r="H202" i="3"/>
  <c r="H203" i="3"/>
  <c r="H204" i="3"/>
  <c r="H205" i="3"/>
  <c r="H206" i="3"/>
  <c r="H207" i="3"/>
  <c r="H208" i="3"/>
  <c r="H209" i="3"/>
  <c r="H210" i="3"/>
  <c r="H211" i="3"/>
  <c r="H212" i="3"/>
  <c r="H213" i="3"/>
  <c r="H6" i="3"/>
  <c r="G49" i="3"/>
  <c r="G50" i="3"/>
  <c r="G51" i="3"/>
  <c r="G52" i="3"/>
  <c r="G53" i="3" s="1"/>
  <c r="G54" i="3" s="1"/>
  <c r="G55" i="3" s="1"/>
  <c r="G56" i="3" s="1"/>
  <c r="G57" i="3" s="1"/>
  <c r="G58" i="3" s="1"/>
  <c r="G59" i="3" s="1"/>
  <c r="G60" i="3" s="1"/>
  <c r="G61" i="3" s="1"/>
  <c r="G62" i="3" s="1"/>
  <c r="G63" i="3" s="1"/>
  <c r="G64" i="3" s="1"/>
  <c r="G65" i="3" s="1"/>
  <c r="G66" i="3" s="1"/>
  <c r="G67" i="3" s="1"/>
  <c r="G68" i="3" s="1"/>
  <c r="G69" i="3" s="1"/>
  <c r="G70" i="3" s="1"/>
  <c r="G71" i="3" s="1"/>
  <c r="G72" i="3" s="1"/>
  <c r="G73" i="3" s="1"/>
  <c r="G74" i="3" s="1"/>
  <c r="G75" i="3" s="1"/>
  <c r="G76" i="3" s="1"/>
  <c r="G77" i="3" s="1"/>
  <c r="G78" i="3" s="1"/>
  <c r="G79" i="3" s="1"/>
  <c r="G80" i="3" s="1"/>
  <c r="G81" i="3" s="1"/>
  <c r="G82" i="3" s="1"/>
  <c r="G83" i="3" s="1"/>
  <c r="G84" i="3" s="1"/>
  <c r="G85" i="3" s="1"/>
  <c r="G86" i="3" s="1"/>
  <c r="G87" i="3" s="1"/>
  <c r="G88" i="3" s="1"/>
  <c r="G89" i="3" s="1"/>
  <c r="G90" i="3" s="1"/>
  <c r="G91" i="3" s="1"/>
  <c r="G92" i="3" s="1"/>
  <c r="G93" i="3" s="1"/>
  <c r="G94" i="3" s="1"/>
  <c r="G95" i="3" s="1"/>
  <c r="G96" i="3" s="1"/>
  <c r="G97" i="3" s="1"/>
  <c r="G98" i="3" s="1"/>
  <c r="G99" i="3" s="1"/>
  <c r="G100" i="3" s="1"/>
  <c r="G101" i="3" s="1"/>
  <c r="G102" i="3" s="1"/>
  <c r="G103" i="3" s="1"/>
  <c r="G104" i="3" s="1"/>
  <c r="G105" i="3" s="1"/>
  <c r="G106" i="3" s="1"/>
  <c r="G107" i="3" s="1"/>
  <c r="G108" i="3" s="1"/>
  <c r="G109" i="3" s="1"/>
  <c r="G110" i="3" s="1"/>
  <c r="G111" i="3" s="1"/>
  <c r="G112" i="3" s="1"/>
  <c r="G113" i="3" s="1"/>
  <c r="G114" i="3" s="1"/>
  <c r="G115" i="3" s="1"/>
  <c r="G116" i="3" s="1"/>
  <c r="G117" i="3" s="1"/>
  <c r="G118" i="3" s="1"/>
  <c r="G119" i="3" s="1"/>
  <c r="G120" i="3" s="1"/>
  <c r="G121" i="3" s="1"/>
  <c r="G122" i="3" s="1"/>
  <c r="G123" i="3" s="1"/>
  <c r="G124" i="3" s="1"/>
  <c r="G125" i="3" s="1"/>
  <c r="G126" i="3" s="1"/>
  <c r="G127" i="3" s="1"/>
  <c r="G128" i="3" s="1"/>
  <c r="G129" i="3" s="1"/>
  <c r="G130" i="3" s="1"/>
  <c r="G131" i="3" s="1"/>
  <c r="G132" i="3" s="1"/>
  <c r="G133" i="3" s="1"/>
  <c r="G134" i="3" s="1"/>
  <c r="G135" i="3" s="1"/>
  <c r="G136" i="3" s="1"/>
  <c r="G137" i="3" s="1"/>
  <c r="G138" i="3" s="1"/>
  <c r="G139" i="3" s="1"/>
  <c r="G140" i="3" s="1"/>
  <c r="G141" i="3" s="1"/>
  <c r="G142" i="3" s="1"/>
  <c r="G143" i="3" s="1"/>
  <c r="G144" i="3" s="1"/>
  <c r="G145" i="3" s="1"/>
  <c r="G146" i="3" s="1"/>
  <c r="G147" i="3" s="1"/>
  <c r="G148" i="3" s="1"/>
  <c r="G149" i="3" s="1"/>
  <c r="G150" i="3" s="1"/>
  <c r="G151" i="3" s="1"/>
  <c r="G152" i="3" s="1"/>
  <c r="G153" i="3" s="1"/>
  <c r="G154" i="3" s="1"/>
  <c r="G155" i="3" s="1"/>
  <c r="G156" i="3" s="1"/>
  <c r="G157" i="3" s="1"/>
  <c r="G158" i="3" s="1"/>
  <c r="G159" i="3" s="1"/>
  <c r="G160" i="3" s="1"/>
  <c r="G161" i="3" s="1"/>
  <c r="G162" i="3" s="1"/>
  <c r="G163" i="3" s="1"/>
  <c r="G164" i="3" s="1"/>
  <c r="G165" i="3" s="1"/>
  <c r="G166" i="3" s="1"/>
  <c r="G167" i="3" s="1"/>
  <c r="G168" i="3" s="1"/>
  <c r="G169" i="3" s="1"/>
  <c r="G170" i="3" s="1"/>
  <c r="G171" i="3" s="1"/>
  <c r="G172" i="3" s="1"/>
  <c r="G173" i="3" s="1"/>
  <c r="G174" i="3" s="1"/>
  <c r="G175" i="3" s="1"/>
  <c r="G176" i="3" s="1"/>
  <c r="G177" i="3" s="1"/>
  <c r="G178" i="3" s="1"/>
  <c r="G179" i="3" s="1"/>
  <c r="G180" i="3" s="1"/>
  <c r="G181" i="3" s="1"/>
  <c r="G182" i="3" s="1"/>
  <c r="G183" i="3" s="1"/>
  <c r="G184" i="3" s="1"/>
  <c r="G185" i="3" s="1"/>
  <c r="G186" i="3" s="1"/>
  <c r="G187" i="3" s="1"/>
  <c r="G188" i="3" s="1"/>
  <c r="G189" i="3" s="1"/>
  <c r="G190" i="3" s="1"/>
  <c r="G191" i="3" s="1"/>
  <c r="G192" i="3" s="1"/>
  <c r="G193" i="3" s="1"/>
  <c r="G194" i="3" s="1"/>
  <c r="G195" i="3" s="1"/>
  <c r="G196" i="3" s="1"/>
  <c r="G197" i="3" s="1"/>
  <c r="G198" i="3" s="1"/>
  <c r="G199" i="3" s="1"/>
  <c r="G200" i="3" s="1"/>
  <c r="G201" i="3" s="1"/>
  <c r="G202" i="3" s="1"/>
  <c r="G203" i="3" s="1"/>
  <c r="G204" i="3" s="1"/>
  <c r="G205" i="3" s="1"/>
  <c r="G206" i="3" s="1"/>
  <c r="G207" i="3" s="1"/>
  <c r="G208" i="3" s="1"/>
  <c r="G209" i="3" s="1"/>
  <c r="G210" i="3" s="1"/>
  <c r="G211" i="3" s="1"/>
  <c r="G212" i="3" s="1"/>
  <c r="J18" i="16"/>
  <c r="J19" i="16"/>
  <c r="J20" i="16"/>
  <c r="J21" i="16"/>
  <c r="J22" i="16"/>
  <c r="J23" i="16"/>
  <c r="J24" i="16"/>
  <c r="D7" i="17"/>
  <c r="D8" i="17"/>
  <c r="D9" i="17"/>
  <c r="D10" i="17"/>
  <c r="D11" i="17"/>
  <c r="D12" i="17"/>
  <c r="D13" i="17"/>
  <c r="D14" i="17"/>
  <c r="D15" i="17"/>
  <c r="D16" i="17"/>
  <c r="D17" i="17"/>
  <c r="D18" i="17"/>
  <c r="D19" i="17"/>
  <c r="D20" i="17"/>
  <c r="D21" i="17"/>
  <c r="D22" i="17"/>
  <c r="D23" i="17"/>
  <c r="D24" i="17"/>
  <c r="D25" i="17"/>
  <c r="D26" i="17"/>
  <c r="D27" i="17"/>
  <c r="D28" i="17"/>
  <c r="D29" i="17"/>
  <c r="D30" i="17"/>
  <c r="D31" i="17"/>
  <c r="D32" i="17"/>
  <c r="D33" i="17"/>
  <c r="D34" i="17"/>
  <c r="D35" i="17"/>
  <c r="D36" i="17"/>
  <c r="D37" i="17"/>
  <c r="D38" i="17"/>
  <c r="D39" i="17"/>
  <c r="D40" i="17"/>
  <c r="D41" i="17"/>
  <c r="D42" i="17"/>
  <c r="D43" i="17"/>
  <c r="D44" i="17"/>
  <c r="D45" i="17"/>
  <c r="D46" i="17"/>
  <c r="D47" i="17"/>
  <c r="D48" i="17"/>
  <c r="D49" i="17"/>
  <c r="D50" i="17"/>
  <c r="D51" i="17"/>
  <c r="D52" i="17"/>
  <c r="D53" i="17"/>
  <c r="D54" i="17"/>
  <c r="D55" i="17"/>
  <c r="D56" i="17"/>
  <c r="D57" i="17"/>
  <c r="D58" i="17"/>
  <c r="D59" i="17"/>
  <c r="D60" i="17"/>
  <c r="D61" i="17"/>
  <c r="D62" i="17"/>
  <c r="D63" i="17"/>
  <c r="D64" i="17"/>
  <c r="D65" i="17"/>
  <c r="D66" i="17"/>
  <c r="D67" i="17"/>
  <c r="D68" i="17"/>
  <c r="D69" i="17"/>
  <c r="D70" i="17"/>
  <c r="D71" i="17"/>
  <c r="D72" i="17"/>
  <c r="D73" i="17"/>
  <c r="D74" i="17"/>
  <c r="D75" i="17"/>
  <c r="D76" i="17"/>
  <c r="D77" i="17"/>
  <c r="D78" i="17"/>
  <c r="D79" i="17"/>
  <c r="D80" i="17"/>
  <c r="D81" i="17"/>
  <c r="D82" i="17"/>
  <c r="D83" i="17"/>
  <c r="D84" i="17"/>
  <c r="D85" i="17"/>
  <c r="D86" i="17"/>
  <c r="D87" i="17"/>
  <c r="D88" i="17"/>
  <c r="D89" i="17"/>
  <c r="D90" i="17"/>
  <c r="D91" i="17"/>
  <c r="D92" i="17"/>
  <c r="D93" i="17"/>
  <c r="D94" i="17"/>
  <c r="D95" i="17"/>
  <c r="D96" i="17"/>
  <c r="D97" i="17"/>
  <c r="D98" i="17"/>
  <c r="D99" i="17"/>
  <c r="D100" i="17"/>
  <c r="D101" i="17"/>
  <c r="D102" i="17"/>
  <c r="D103" i="17"/>
  <c r="D104" i="17"/>
  <c r="D105" i="17"/>
  <c r="D106" i="17"/>
  <c r="D107" i="17"/>
  <c r="D108" i="17"/>
  <c r="D109" i="17"/>
  <c r="D110" i="17"/>
  <c r="D111" i="17"/>
  <c r="D112" i="17"/>
  <c r="D113" i="17"/>
  <c r="D114" i="17"/>
  <c r="D115" i="17"/>
  <c r="D116" i="17"/>
  <c r="D117" i="17"/>
  <c r="D118" i="17"/>
  <c r="D119" i="17"/>
  <c r="D120" i="17"/>
  <c r="D121" i="17"/>
  <c r="D122" i="17"/>
  <c r="D123" i="17"/>
  <c r="D124" i="17"/>
  <c r="D125" i="17"/>
  <c r="D126" i="17"/>
  <c r="D127" i="17"/>
  <c r="D6" i="17"/>
  <c r="C7" i="17"/>
  <c r="C8" i="17"/>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1" i="17"/>
  <c r="C62" i="17"/>
  <c r="C63" i="17"/>
  <c r="C64" i="17"/>
  <c r="C65"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C111" i="17"/>
  <c r="C112" i="17"/>
  <c r="C113" i="17"/>
  <c r="C114" i="17"/>
  <c r="C115" i="17"/>
  <c r="C116" i="17"/>
  <c r="C117" i="17"/>
  <c r="C118" i="17"/>
  <c r="C119" i="17"/>
  <c r="C120" i="17"/>
  <c r="C121" i="17"/>
  <c r="C122" i="17"/>
  <c r="C123" i="17"/>
  <c r="C124" i="17"/>
  <c r="C125" i="17"/>
  <c r="C126" i="17"/>
  <c r="C127" i="17"/>
  <c r="C6" i="17"/>
  <c r="H214" i="3" l="1"/>
  <c r="G215" i="3"/>
  <c r="G216" i="3" s="1"/>
  <c r="G217" i="3" s="1"/>
  <c r="G218" i="3" s="1"/>
  <c r="H217" i="3"/>
  <c r="H216" i="3"/>
  <c r="H215" i="3"/>
  <c r="C131" i="17"/>
  <c r="D131" i="17"/>
  <c r="F6" i="17"/>
  <c r="F7" i="17"/>
  <c r="F8" i="17"/>
  <c r="F9" i="17"/>
  <c r="F10" i="17"/>
  <c r="G6" i="17"/>
  <c r="G7" i="17"/>
  <c r="G8" i="17"/>
  <c r="G9" i="17"/>
  <c r="G10" i="17"/>
  <c r="G219" i="3" l="1"/>
  <c r="H218" i="3"/>
  <c r="I10" i="17"/>
  <c r="I9" i="17"/>
  <c r="I8" i="17"/>
  <c r="I7" i="17"/>
  <c r="I6" i="17"/>
  <c r="G128" i="17"/>
  <c r="G127" i="17"/>
  <c r="G126" i="17"/>
  <c r="G125" i="17"/>
  <c r="G124" i="17"/>
  <c r="H124" i="17" s="1"/>
  <c r="H128" i="17" s="1"/>
  <c r="G123" i="17"/>
  <c r="G122" i="17"/>
  <c r="G121" i="17"/>
  <c r="G120" i="17"/>
  <c r="G119" i="17"/>
  <c r="G118" i="17"/>
  <c r="G117" i="17"/>
  <c r="G116" i="17"/>
  <c r="G115" i="17"/>
  <c r="G114" i="17"/>
  <c r="G113" i="17"/>
  <c r="G112" i="17"/>
  <c r="G111" i="17"/>
  <c r="G110" i="17"/>
  <c r="G109" i="17"/>
  <c r="G108" i="17"/>
  <c r="G107" i="17"/>
  <c r="G106" i="17"/>
  <c r="G105" i="17"/>
  <c r="G104" i="17"/>
  <c r="G103" i="17"/>
  <c r="G102" i="17"/>
  <c r="G101" i="17"/>
  <c r="G100" i="17"/>
  <c r="G99" i="17"/>
  <c r="G98" i="17"/>
  <c r="G97" i="17"/>
  <c r="G96" i="17"/>
  <c r="G95" i="17"/>
  <c r="G94" i="17"/>
  <c r="G93" i="17"/>
  <c r="G92" i="17"/>
  <c r="G91" i="17"/>
  <c r="G90" i="17"/>
  <c r="G89" i="17"/>
  <c r="G88" i="17"/>
  <c r="G87" i="17"/>
  <c r="G86" i="17"/>
  <c r="G85" i="17"/>
  <c r="G84" i="17"/>
  <c r="G83" i="17"/>
  <c r="G82" i="17"/>
  <c r="G81" i="17"/>
  <c r="G80" i="17"/>
  <c r="G79" i="17"/>
  <c r="G78" i="17"/>
  <c r="G77" i="17"/>
  <c r="G76" i="17"/>
  <c r="G75" i="17"/>
  <c r="G74" i="17"/>
  <c r="G73" i="17"/>
  <c r="G72" i="17"/>
  <c r="G71" i="17"/>
  <c r="G70" i="17"/>
  <c r="G69" i="17"/>
  <c r="G68" i="17"/>
  <c r="G67" i="17"/>
  <c r="G66" i="17"/>
  <c r="G65" i="17"/>
  <c r="G64" i="17"/>
  <c r="G63" i="17"/>
  <c r="G62" i="17"/>
  <c r="G61" i="17"/>
  <c r="G60" i="17"/>
  <c r="G59" i="17"/>
  <c r="G58" i="17"/>
  <c r="G57" i="17"/>
  <c r="G56" i="17"/>
  <c r="G55" i="17"/>
  <c r="G54" i="17"/>
  <c r="G53" i="17"/>
  <c r="G52" i="17"/>
  <c r="G51" i="17"/>
  <c r="G50" i="17"/>
  <c r="G49" i="17"/>
  <c r="G48" i="17"/>
  <c r="G47" i="17"/>
  <c r="G46" i="17"/>
  <c r="G45" i="17"/>
  <c r="G44" i="17"/>
  <c r="G43" i="17"/>
  <c r="G42" i="17"/>
  <c r="G41" i="17"/>
  <c r="G40" i="17"/>
  <c r="G39" i="17"/>
  <c r="G38" i="17"/>
  <c r="G37" i="17"/>
  <c r="G36" i="17"/>
  <c r="G35" i="17"/>
  <c r="G34" i="17"/>
  <c r="G33" i="17"/>
  <c r="G32" i="17"/>
  <c r="G31" i="17"/>
  <c r="G30" i="17"/>
  <c r="G29" i="17"/>
  <c r="G28" i="17"/>
  <c r="G27" i="17"/>
  <c r="G26" i="17"/>
  <c r="G12" i="17"/>
  <c r="G13" i="17"/>
  <c r="G14" i="17"/>
  <c r="G15" i="17"/>
  <c r="G16" i="17"/>
  <c r="G17" i="17"/>
  <c r="G18" i="17"/>
  <c r="G19" i="17"/>
  <c r="G20" i="17"/>
  <c r="G21" i="17"/>
  <c r="G22" i="17"/>
  <c r="G23" i="17"/>
  <c r="G11" i="17"/>
  <c r="F23" i="17"/>
  <c r="F22" i="17"/>
  <c r="F21" i="17"/>
  <c r="F20" i="17"/>
  <c r="I20" i="17" s="1"/>
  <c r="F19" i="17"/>
  <c r="F18" i="17"/>
  <c r="I18" i="17" s="1"/>
  <c r="F17" i="17"/>
  <c r="F16" i="17"/>
  <c r="I16" i="17" s="1"/>
  <c r="F15" i="17"/>
  <c r="F14" i="17"/>
  <c r="F13" i="17"/>
  <c r="F12" i="17"/>
  <c r="I12" i="17" s="1"/>
  <c r="F11" i="17"/>
  <c r="F27" i="17"/>
  <c r="I27" i="17" s="1"/>
  <c r="F28" i="17"/>
  <c r="F29" i="17"/>
  <c r="I29" i="17" s="1"/>
  <c r="F30" i="17"/>
  <c r="F31" i="17"/>
  <c r="F32" i="17"/>
  <c r="F33" i="17"/>
  <c r="I33" i="17" s="1"/>
  <c r="F34" i="17"/>
  <c r="F35" i="17"/>
  <c r="I35" i="17" s="1"/>
  <c r="F36" i="17"/>
  <c r="F37" i="17"/>
  <c r="I37" i="17" s="1"/>
  <c r="F38" i="17"/>
  <c r="F39" i="17"/>
  <c r="F40" i="17"/>
  <c r="F41" i="17"/>
  <c r="I41" i="17" s="1"/>
  <c r="F42" i="17"/>
  <c r="F43" i="17"/>
  <c r="I43" i="17" s="1"/>
  <c r="F44" i="17"/>
  <c r="F45" i="17"/>
  <c r="I45" i="17" s="1"/>
  <c r="F46" i="17"/>
  <c r="F47" i="17"/>
  <c r="F48" i="17"/>
  <c r="F49" i="17"/>
  <c r="I49" i="17" s="1"/>
  <c r="F50" i="17"/>
  <c r="F51" i="17"/>
  <c r="I51" i="17" s="1"/>
  <c r="F52" i="17"/>
  <c r="F53" i="17"/>
  <c r="I53" i="17" s="1"/>
  <c r="F54" i="17"/>
  <c r="F55" i="17"/>
  <c r="F56" i="17"/>
  <c r="F57" i="17"/>
  <c r="I57" i="17" s="1"/>
  <c r="F58" i="17"/>
  <c r="F59" i="17"/>
  <c r="I59" i="17" s="1"/>
  <c r="F60" i="17"/>
  <c r="F61" i="17"/>
  <c r="I61" i="17" s="1"/>
  <c r="F62" i="17"/>
  <c r="F63" i="17"/>
  <c r="F64" i="17"/>
  <c r="F65" i="17"/>
  <c r="I65" i="17" s="1"/>
  <c r="F66" i="17"/>
  <c r="F67" i="17"/>
  <c r="I67" i="17" s="1"/>
  <c r="F68" i="17"/>
  <c r="F69" i="17"/>
  <c r="I69" i="17" s="1"/>
  <c r="F70" i="17"/>
  <c r="F71" i="17"/>
  <c r="F72" i="17"/>
  <c r="F73" i="17"/>
  <c r="I73" i="17" s="1"/>
  <c r="F74" i="17"/>
  <c r="F75" i="17"/>
  <c r="I75" i="17" s="1"/>
  <c r="F76" i="17"/>
  <c r="F77" i="17"/>
  <c r="I77" i="17" s="1"/>
  <c r="F78" i="17"/>
  <c r="F79" i="17"/>
  <c r="F80" i="17"/>
  <c r="F81" i="17"/>
  <c r="I81" i="17" s="1"/>
  <c r="F82" i="17"/>
  <c r="F83" i="17"/>
  <c r="I83" i="17" s="1"/>
  <c r="F84" i="17"/>
  <c r="F85" i="17"/>
  <c r="I85" i="17" s="1"/>
  <c r="F86" i="17"/>
  <c r="F87" i="17"/>
  <c r="F88" i="17"/>
  <c r="F89" i="17"/>
  <c r="I89" i="17" s="1"/>
  <c r="F90" i="17"/>
  <c r="F91" i="17"/>
  <c r="I91" i="17" s="1"/>
  <c r="F92" i="17"/>
  <c r="F93" i="17"/>
  <c r="I93" i="17" s="1"/>
  <c r="F94" i="17"/>
  <c r="F95" i="17"/>
  <c r="F96" i="17"/>
  <c r="F97" i="17"/>
  <c r="I97" i="17" s="1"/>
  <c r="F98" i="17"/>
  <c r="F99" i="17"/>
  <c r="I99" i="17" s="1"/>
  <c r="F100" i="17"/>
  <c r="F101" i="17"/>
  <c r="I101" i="17" s="1"/>
  <c r="F102" i="17"/>
  <c r="F103" i="17"/>
  <c r="F104" i="17"/>
  <c r="F105" i="17"/>
  <c r="I105" i="17" s="1"/>
  <c r="F106" i="17"/>
  <c r="F107" i="17"/>
  <c r="I107" i="17" s="1"/>
  <c r="F108" i="17"/>
  <c r="F109" i="17"/>
  <c r="I109" i="17" s="1"/>
  <c r="F110" i="17"/>
  <c r="F111" i="17"/>
  <c r="F112" i="17"/>
  <c r="F113" i="17"/>
  <c r="I113" i="17" s="1"/>
  <c r="F114" i="17"/>
  <c r="F115" i="17"/>
  <c r="I115" i="17" s="1"/>
  <c r="F116" i="17"/>
  <c r="F117" i="17"/>
  <c r="I117" i="17" s="1"/>
  <c r="F118" i="17"/>
  <c r="F119" i="17"/>
  <c r="F120" i="17"/>
  <c r="F121" i="17"/>
  <c r="I121" i="17" s="1"/>
  <c r="F122" i="17"/>
  <c r="F123" i="17"/>
  <c r="I123" i="17" s="1"/>
  <c r="F124" i="17"/>
  <c r="F125" i="17"/>
  <c r="I125" i="17" s="1"/>
  <c r="F126" i="17"/>
  <c r="F127" i="17"/>
  <c r="F128" i="17"/>
  <c r="F26" i="17"/>
  <c r="K60" i="11"/>
  <c r="K59" i="11"/>
  <c r="K56" i="11"/>
  <c r="K55" i="11"/>
  <c r="K54" i="11"/>
  <c r="K53" i="11"/>
  <c r="K52" i="11"/>
  <c r="K51" i="11"/>
  <c r="K50" i="11"/>
  <c r="K49" i="11"/>
  <c r="K44" i="11"/>
  <c r="K43" i="11"/>
  <c r="K42" i="11"/>
  <c r="K41" i="11"/>
  <c r="K40" i="11"/>
  <c r="K39" i="11"/>
  <c r="K38" i="11"/>
  <c r="K37" i="11"/>
  <c r="K33" i="11"/>
  <c r="K32" i="11"/>
  <c r="K30" i="11"/>
  <c r="K29" i="11"/>
  <c r="K28" i="11"/>
  <c r="K27" i="11"/>
  <c r="K26" i="11"/>
  <c r="K25" i="11"/>
  <c r="K21" i="11"/>
  <c r="K20" i="11"/>
  <c r="K19" i="11"/>
  <c r="K18" i="11"/>
  <c r="K17" i="11"/>
  <c r="K16" i="11"/>
  <c r="K15" i="11"/>
  <c r="K14" i="11"/>
  <c r="K13" i="11"/>
  <c r="K12" i="11"/>
  <c r="K11" i="11"/>
  <c r="K8" i="11"/>
  <c r="J7" i="16"/>
  <c r="J8" i="16"/>
  <c r="J9" i="16"/>
  <c r="J10" i="16"/>
  <c r="J11" i="16"/>
  <c r="J6" i="16"/>
  <c r="G13" i="16"/>
  <c r="I8" i="11"/>
  <c r="I29" i="11" s="1"/>
  <c r="I62" i="11" s="1"/>
  <c r="F5" i="13"/>
  <c r="E5" i="13"/>
  <c r="E41" i="13"/>
  <c r="E42" i="13"/>
  <c r="E43" i="13"/>
  <c r="E44" i="13"/>
  <c r="E45" i="13"/>
  <c r="E46" i="13"/>
  <c r="E47" i="13"/>
  <c r="E48" i="13"/>
  <c r="E40" i="13"/>
  <c r="F4" i="13"/>
  <c r="B3" i="13"/>
  <c r="I124" i="17" l="1"/>
  <c r="I120" i="17"/>
  <c r="I116" i="17"/>
  <c r="I112" i="17"/>
  <c r="I108" i="17"/>
  <c r="I104" i="17"/>
  <c r="I100" i="17"/>
  <c r="I96" i="17"/>
  <c r="I92" i="17"/>
  <c r="I88" i="17"/>
  <c r="I84" i="17"/>
  <c r="I76" i="17"/>
  <c r="I68" i="17"/>
  <c r="I60" i="17"/>
  <c r="I52" i="17"/>
  <c r="I44" i="17"/>
  <c r="I36" i="17"/>
  <c r="I28" i="17"/>
  <c r="I17" i="17"/>
  <c r="G220" i="3"/>
  <c r="H219" i="3"/>
  <c r="I26" i="17"/>
  <c r="I122" i="17"/>
  <c r="I114" i="17"/>
  <c r="I106" i="17"/>
  <c r="I98" i="17"/>
  <c r="I90" i="17"/>
  <c r="I82" i="17"/>
  <c r="I74" i="17"/>
  <c r="I66" i="17"/>
  <c r="I58" i="17"/>
  <c r="I50" i="17"/>
  <c r="I42" i="17"/>
  <c r="I34" i="17"/>
  <c r="I19" i="17"/>
  <c r="I72" i="17"/>
  <c r="I80" i="17"/>
  <c r="I48" i="17"/>
  <c r="I40" i="17"/>
  <c r="I64" i="17"/>
  <c r="I56" i="17"/>
  <c r="I126" i="17"/>
  <c r="I118" i="17"/>
  <c r="I110" i="17"/>
  <c r="I102" i="17"/>
  <c r="I94" i="17"/>
  <c r="I86" i="17"/>
  <c r="I78" i="17"/>
  <c r="I70" i="17"/>
  <c r="I62" i="17"/>
  <c r="I54" i="17"/>
  <c r="K62" i="11"/>
  <c r="I11" i="17"/>
  <c r="F131" i="17"/>
  <c r="I32" i="17"/>
  <c r="I13" i="17"/>
  <c r="I21" i="17"/>
  <c r="I127" i="17"/>
  <c r="I119" i="17"/>
  <c r="I111" i="17"/>
  <c r="I103" i="17"/>
  <c r="I95" i="17"/>
  <c r="I87" i="17"/>
  <c r="I79" i="17"/>
  <c r="I71" i="17"/>
  <c r="I63" i="17"/>
  <c r="I55" i="17"/>
  <c r="I47" i="17"/>
  <c r="I39" i="17"/>
  <c r="I31" i="17"/>
  <c r="I14" i="17"/>
  <c r="I22" i="17"/>
  <c r="I46" i="17"/>
  <c r="I38" i="17"/>
  <c r="I30" i="17"/>
  <c r="I15" i="17"/>
  <c r="I23" i="17"/>
  <c r="I128" i="17"/>
  <c r="G131" i="17"/>
  <c r="B66" i="13"/>
  <c r="B65" i="13"/>
  <c r="B64" i="13"/>
  <c r="B63" i="13"/>
  <c r="B62" i="13"/>
  <c r="B61" i="13"/>
  <c r="B60" i="13"/>
  <c r="B59" i="13"/>
  <c r="B58" i="13"/>
  <c r="B57" i="13"/>
  <c r="B56" i="13"/>
  <c r="B55" i="13"/>
  <c r="B54" i="13"/>
  <c r="B53" i="13"/>
  <c r="B52" i="13"/>
  <c r="B51" i="13"/>
  <c r="B50" i="13"/>
  <c r="B49" i="13"/>
  <c r="B48" i="13"/>
  <c r="B47" i="13"/>
  <c r="B46" i="13"/>
  <c r="B45" i="13"/>
  <c r="B44" i="13"/>
  <c r="B43" i="13"/>
  <c r="B42" i="13"/>
  <c r="B41" i="13"/>
  <c r="B40" i="13"/>
  <c r="B39" i="13"/>
  <c r="B38" i="13"/>
  <c r="B37" i="13"/>
  <c r="B36" i="13"/>
  <c r="B35" i="13"/>
  <c r="B34" i="13"/>
  <c r="B33" i="13"/>
  <c r="B32" i="13"/>
  <c r="B31" i="13"/>
  <c r="B30" i="13"/>
  <c r="B29" i="13"/>
  <c r="B28" i="13"/>
  <c r="B27" i="13"/>
  <c r="B26" i="13"/>
  <c r="B25" i="13"/>
  <c r="B24" i="13"/>
  <c r="B23" i="13"/>
  <c r="B21" i="13"/>
  <c r="B20" i="13"/>
  <c r="G221" i="3" l="1"/>
  <c r="H220" i="3"/>
  <c r="I131" i="17"/>
  <c r="B7" i="13"/>
  <c r="B8" i="13"/>
  <c r="B9" i="13"/>
  <c r="B10" i="13"/>
  <c r="B11" i="13"/>
  <c r="B12" i="13"/>
  <c r="B13" i="13"/>
  <c r="B14" i="13"/>
  <c r="B15" i="13"/>
  <c r="B16" i="13"/>
  <c r="G222" i="3" l="1"/>
  <c r="H221" i="3"/>
  <c r="J60" i="11"/>
  <c r="J59" i="11"/>
  <c r="J37" i="11"/>
  <c r="J20" i="11"/>
  <c r="J12" i="11"/>
  <c r="J44" i="11"/>
  <c r="J19" i="11"/>
  <c r="J11" i="11"/>
  <c r="J43" i="11"/>
  <c r="J18" i="11"/>
  <c r="J8" i="11"/>
  <c r="J42" i="11"/>
  <c r="J17" i="11"/>
  <c r="J41" i="11"/>
  <c r="J16" i="11"/>
  <c r="J15" i="11"/>
  <c r="J56" i="11"/>
  <c r="J40" i="11"/>
  <c r="J55" i="11"/>
  <c r="J54" i="11"/>
  <c r="J52" i="11"/>
  <c r="J14" i="11"/>
  <c r="J50" i="11"/>
  <c r="J21" i="11"/>
  <c r="G223" i="3" l="1"/>
  <c r="H222" i="3"/>
  <c r="C7" i="13"/>
  <c r="E7" i="13" s="1"/>
  <c r="C8" i="13"/>
  <c r="C9" i="13"/>
  <c r="E9" i="13" s="1"/>
  <c r="C10" i="13"/>
  <c r="E10" i="13" s="1"/>
  <c r="C11" i="13"/>
  <c r="C12" i="13"/>
  <c r="E12" i="13" s="1"/>
  <c r="C13" i="13"/>
  <c r="E13" i="13" s="1"/>
  <c r="C14" i="13"/>
  <c r="E14" i="13" s="1"/>
  <c r="C16" i="13"/>
  <c r="F16" i="13" s="1"/>
  <c r="C3" i="13"/>
  <c r="C70" i="13"/>
  <c r="E70" i="13" s="1"/>
  <c r="C21" i="13"/>
  <c r="C23" i="13"/>
  <c r="F23" i="13" s="1"/>
  <c r="C24" i="13"/>
  <c r="F24" i="13" s="1"/>
  <c r="C25" i="13"/>
  <c r="F25" i="13" s="1"/>
  <c r="C26" i="13"/>
  <c r="F26" i="13" s="1"/>
  <c r="C27" i="13"/>
  <c r="F27" i="13" s="1"/>
  <c r="C28" i="13"/>
  <c r="F28" i="13" s="1"/>
  <c r="C29" i="13"/>
  <c r="F29" i="13" s="1"/>
  <c r="C30" i="13"/>
  <c r="F30" i="13" s="1"/>
  <c r="C31" i="13"/>
  <c r="F31" i="13" s="1"/>
  <c r="C32" i="13"/>
  <c r="F32" i="13" s="1"/>
  <c r="C33" i="13"/>
  <c r="F33" i="13" s="1"/>
  <c r="C34" i="13"/>
  <c r="F34" i="13" s="1"/>
  <c r="C35" i="13"/>
  <c r="F35" i="13" s="1"/>
  <c r="C36" i="13"/>
  <c r="F36" i="13" s="1"/>
  <c r="C37" i="13"/>
  <c r="F37" i="13" s="1"/>
  <c r="C38" i="13"/>
  <c r="F38" i="13" s="1"/>
  <c r="C39" i="13"/>
  <c r="F39" i="13" s="1"/>
  <c r="C40" i="13"/>
  <c r="F40" i="13" s="1"/>
  <c r="C41" i="13"/>
  <c r="F41" i="13" s="1"/>
  <c r="C42" i="13"/>
  <c r="F42" i="13" s="1"/>
  <c r="C43" i="13"/>
  <c r="F43" i="13" s="1"/>
  <c r="C44" i="13"/>
  <c r="F44" i="13" s="1"/>
  <c r="C45" i="13"/>
  <c r="F45" i="13" s="1"/>
  <c r="C46" i="13"/>
  <c r="F46" i="13" s="1"/>
  <c r="C47" i="13"/>
  <c r="F47" i="13" s="1"/>
  <c r="C48" i="13"/>
  <c r="F48" i="13" s="1"/>
  <c r="C49" i="13"/>
  <c r="F49" i="13" s="1"/>
  <c r="J28" i="11" s="1"/>
  <c r="C50" i="13"/>
  <c r="F50" i="13" s="1"/>
  <c r="J27" i="11" s="1"/>
  <c r="C51" i="13"/>
  <c r="F51" i="13" s="1"/>
  <c r="C52" i="13"/>
  <c r="F52" i="13" s="1"/>
  <c r="C53" i="13"/>
  <c r="F53" i="13" s="1"/>
  <c r="J25" i="11" s="1"/>
  <c r="C54" i="13"/>
  <c r="F54" i="13" s="1"/>
  <c r="C55" i="13"/>
  <c r="F55" i="13" s="1"/>
  <c r="C56" i="13"/>
  <c r="F56" i="13" s="1"/>
  <c r="C57" i="13"/>
  <c r="F57" i="13" s="1"/>
  <c r="C58" i="13"/>
  <c r="F58" i="13" s="1"/>
  <c r="C59" i="13"/>
  <c r="F59" i="13" s="1"/>
  <c r="J53" i="11" s="1"/>
  <c r="C60" i="13"/>
  <c r="F60" i="13" s="1"/>
  <c r="J51" i="11" s="1"/>
  <c r="C61" i="13"/>
  <c r="F61" i="13" s="1"/>
  <c r="C62" i="13"/>
  <c r="F62" i="13" s="1"/>
  <c r="C63" i="13"/>
  <c r="F63" i="13" s="1"/>
  <c r="C64" i="13"/>
  <c r="F64" i="13" s="1"/>
  <c r="C65" i="13"/>
  <c r="F65" i="13" s="1"/>
  <c r="C66" i="13"/>
  <c r="F66" i="13" s="1"/>
  <c r="C20" i="13"/>
  <c r="K39" i="5"/>
  <c r="K27" i="5"/>
  <c r="K18" i="5"/>
  <c r="K17" i="5"/>
  <c r="K16" i="5"/>
  <c r="D12" i="5"/>
  <c r="D11" i="5"/>
  <c r="D10" i="5"/>
  <c r="D9" i="5"/>
  <c r="I268" i="1"/>
  <c r="I212" i="1"/>
  <c r="J519" i="15"/>
  <c r="I519" i="15"/>
  <c r="J518" i="15"/>
  <c r="I518" i="15"/>
  <c r="J517" i="15"/>
  <c r="I517" i="15"/>
  <c r="J516" i="15"/>
  <c r="I516" i="15"/>
  <c r="J515" i="15"/>
  <c r="I515" i="15"/>
  <c r="J514" i="15"/>
  <c r="I514" i="15"/>
  <c r="J513" i="15"/>
  <c r="I513" i="15"/>
  <c r="J512" i="15"/>
  <c r="I512" i="15"/>
  <c r="J511" i="15"/>
  <c r="I511" i="15"/>
  <c r="J510" i="15"/>
  <c r="I510" i="15"/>
  <c r="J509" i="15"/>
  <c r="I509" i="15"/>
  <c r="J508" i="15"/>
  <c r="I508" i="15"/>
  <c r="J507" i="15"/>
  <c r="I507" i="15"/>
  <c r="J506" i="15"/>
  <c r="I506" i="15"/>
  <c r="J505" i="15"/>
  <c r="I505" i="15"/>
  <c r="J504" i="15"/>
  <c r="I504" i="15"/>
  <c r="J503" i="15"/>
  <c r="I503" i="15"/>
  <c r="J502" i="15"/>
  <c r="I502" i="15"/>
  <c r="J501" i="15"/>
  <c r="I501" i="15"/>
  <c r="J500" i="15"/>
  <c r="I500" i="15"/>
  <c r="J499" i="15"/>
  <c r="I499" i="15"/>
  <c r="J498" i="15"/>
  <c r="I498" i="15"/>
  <c r="J497" i="15"/>
  <c r="I497" i="15"/>
  <c r="J496" i="15"/>
  <c r="I496" i="15"/>
  <c r="J495" i="15"/>
  <c r="I495" i="15"/>
  <c r="J494" i="15"/>
  <c r="I494" i="15"/>
  <c r="J493" i="15"/>
  <c r="I493" i="15"/>
  <c r="J492" i="15"/>
  <c r="I492" i="15"/>
  <c r="J491" i="15"/>
  <c r="I491" i="15"/>
  <c r="J490" i="15"/>
  <c r="I490" i="15"/>
  <c r="J489" i="15"/>
  <c r="I489" i="15"/>
  <c r="J488" i="15"/>
  <c r="I488" i="15"/>
  <c r="J487" i="15"/>
  <c r="I487" i="15"/>
  <c r="J486" i="15"/>
  <c r="I486" i="15"/>
  <c r="J485" i="15"/>
  <c r="I485" i="15"/>
  <c r="J484" i="15"/>
  <c r="I484" i="15"/>
  <c r="J483" i="15"/>
  <c r="I483" i="15"/>
  <c r="J482" i="15"/>
  <c r="I482" i="15"/>
  <c r="J481" i="15"/>
  <c r="I481" i="15"/>
  <c r="J480" i="15"/>
  <c r="I480" i="15"/>
  <c r="J479" i="15"/>
  <c r="I479" i="15"/>
  <c r="J478" i="15"/>
  <c r="I478" i="15"/>
  <c r="J477" i="15"/>
  <c r="I477" i="15"/>
  <c r="J476" i="15"/>
  <c r="I476" i="15"/>
  <c r="J475" i="15"/>
  <c r="I475" i="15"/>
  <c r="J474" i="15"/>
  <c r="I474" i="15"/>
  <c r="J473" i="15"/>
  <c r="I473" i="15"/>
  <c r="J472" i="15"/>
  <c r="I472" i="15"/>
  <c r="J471" i="15"/>
  <c r="I471" i="15"/>
  <c r="J470" i="15"/>
  <c r="I470" i="15"/>
  <c r="J469" i="15"/>
  <c r="I469" i="15"/>
  <c r="J468" i="15"/>
  <c r="I468" i="15"/>
  <c r="J467" i="15"/>
  <c r="I467" i="15"/>
  <c r="J466" i="15"/>
  <c r="I466" i="15"/>
  <c r="J465" i="15"/>
  <c r="I465" i="15"/>
  <c r="J464" i="15"/>
  <c r="I464" i="15"/>
  <c r="J463" i="15"/>
  <c r="I463" i="15"/>
  <c r="J462" i="15"/>
  <c r="I462" i="15"/>
  <c r="J461" i="15"/>
  <c r="I461" i="15"/>
  <c r="J460" i="15"/>
  <c r="I460" i="15"/>
  <c r="J459" i="15"/>
  <c r="I459" i="15"/>
  <c r="J458" i="15"/>
  <c r="I458" i="15"/>
  <c r="J457" i="15"/>
  <c r="I457" i="15"/>
  <c r="J456" i="15"/>
  <c r="I456" i="15"/>
  <c r="J455" i="15"/>
  <c r="I455" i="15"/>
  <c r="J454" i="15"/>
  <c r="I454" i="15"/>
  <c r="J453" i="15"/>
  <c r="I453" i="15"/>
  <c r="J452" i="15"/>
  <c r="I452" i="15"/>
  <c r="J451" i="15"/>
  <c r="I451" i="15"/>
  <c r="J450" i="15"/>
  <c r="I450" i="15"/>
  <c r="J449" i="15"/>
  <c r="I449" i="15"/>
  <c r="J448" i="15"/>
  <c r="I448" i="15"/>
  <c r="J447" i="15"/>
  <c r="I447" i="15"/>
  <c r="J446" i="15"/>
  <c r="I446" i="15"/>
  <c r="J445" i="15"/>
  <c r="I445" i="15"/>
  <c r="J444" i="15"/>
  <c r="I444" i="15"/>
  <c r="J443" i="15"/>
  <c r="I443" i="15"/>
  <c r="J442" i="15"/>
  <c r="I442" i="15"/>
  <c r="J441" i="15"/>
  <c r="I441" i="15"/>
  <c r="J440" i="15"/>
  <c r="I440" i="15"/>
  <c r="J439" i="15"/>
  <c r="I439" i="15"/>
  <c r="J438" i="15"/>
  <c r="I438" i="15"/>
  <c r="J437" i="15"/>
  <c r="I437" i="15"/>
  <c r="J436" i="15"/>
  <c r="I436" i="15"/>
  <c r="J435" i="15"/>
  <c r="I435" i="15"/>
  <c r="J434" i="15"/>
  <c r="I434" i="15"/>
  <c r="J433" i="15"/>
  <c r="I433" i="15"/>
  <c r="J432" i="15"/>
  <c r="I432" i="15"/>
  <c r="J431" i="15"/>
  <c r="I431" i="15"/>
  <c r="J430" i="15"/>
  <c r="I430" i="15"/>
  <c r="J429" i="15"/>
  <c r="I429" i="15"/>
  <c r="J428" i="15"/>
  <c r="I428" i="15"/>
  <c r="J427" i="15"/>
  <c r="I427" i="15"/>
  <c r="J426" i="15"/>
  <c r="I426" i="15"/>
  <c r="J425" i="15"/>
  <c r="I425" i="15"/>
  <c r="J424" i="15"/>
  <c r="I424" i="15"/>
  <c r="J423" i="15"/>
  <c r="I423" i="15"/>
  <c r="J422" i="15"/>
  <c r="I422" i="15"/>
  <c r="J421" i="15"/>
  <c r="I421" i="15"/>
  <c r="J420" i="15"/>
  <c r="I420" i="15"/>
  <c r="J419" i="15"/>
  <c r="I419" i="15"/>
  <c r="J418" i="15"/>
  <c r="I418" i="15"/>
  <c r="J417" i="15"/>
  <c r="I417" i="15"/>
  <c r="J416" i="15"/>
  <c r="I416" i="15"/>
  <c r="J415" i="15"/>
  <c r="I415" i="15"/>
  <c r="J414" i="15"/>
  <c r="I414" i="15"/>
  <c r="J413" i="15"/>
  <c r="I413" i="15"/>
  <c r="J412" i="15"/>
  <c r="I412" i="15"/>
  <c r="J411" i="15"/>
  <c r="I411" i="15"/>
  <c r="J410" i="15"/>
  <c r="I410" i="15"/>
  <c r="J409" i="15"/>
  <c r="I409" i="15"/>
  <c r="J408" i="15"/>
  <c r="I408" i="15"/>
  <c r="J407" i="15"/>
  <c r="I407" i="15"/>
  <c r="J406" i="15"/>
  <c r="I406" i="15"/>
  <c r="J405" i="15"/>
  <c r="I405" i="15"/>
  <c r="J404" i="15"/>
  <c r="I404" i="15"/>
  <c r="J403" i="15"/>
  <c r="I403" i="15"/>
  <c r="J402" i="15"/>
  <c r="I402" i="15"/>
  <c r="J401" i="15"/>
  <c r="I401" i="15"/>
  <c r="J400" i="15"/>
  <c r="I400" i="15"/>
  <c r="J399" i="15"/>
  <c r="I399" i="15"/>
  <c r="J398" i="15"/>
  <c r="I398" i="15"/>
  <c r="J397" i="15"/>
  <c r="I397" i="15"/>
  <c r="J396" i="15"/>
  <c r="I396" i="15"/>
  <c r="J395" i="15"/>
  <c r="I395" i="15"/>
  <c r="J394" i="15"/>
  <c r="I394" i="15"/>
  <c r="J393" i="15"/>
  <c r="I393" i="15"/>
  <c r="J392" i="15"/>
  <c r="I392" i="15"/>
  <c r="J391" i="15"/>
  <c r="I391" i="15"/>
  <c r="J390" i="15"/>
  <c r="I390" i="15"/>
  <c r="J389" i="15"/>
  <c r="I389" i="15"/>
  <c r="J388" i="15"/>
  <c r="I388" i="15"/>
  <c r="J387" i="15"/>
  <c r="I387" i="15"/>
  <c r="J386" i="15"/>
  <c r="I386" i="15"/>
  <c r="J385" i="15"/>
  <c r="I385" i="15"/>
  <c r="J384" i="15"/>
  <c r="I384" i="15"/>
  <c r="J383" i="15"/>
  <c r="I383" i="15"/>
  <c r="J382" i="15"/>
  <c r="I382" i="15"/>
  <c r="J381" i="15"/>
  <c r="I381" i="15"/>
  <c r="J380" i="15"/>
  <c r="I380" i="15"/>
  <c r="J379" i="15"/>
  <c r="I379" i="15"/>
  <c r="J378" i="15"/>
  <c r="I378" i="15"/>
  <c r="J377" i="15"/>
  <c r="I377" i="15"/>
  <c r="J376" i="15"/>
  <c r="I376" i="15"/>
  <c r="J375" i="15"/>
  <c r="I375" i="15"/>
  <c r="J374" i="15"/>
  <c r="I374" i="15"/>
  <c r="J373" i="15"/>
  <c r="I373" i="15"/>
  <c r="J372" i="15"/>
  <c r="I372" i="15"/>
  <c r="J371" i="15"/>
  <c r="I371" i="15"/>
  <c r="J370" i="15"/>
  <c r="I370" i="15"/>
  <c r="J369" i="15"/>
  <c r="I369" i="15"/>
  <c r="J368" i="15"/>
  <c r="I368" i="15"/>
  <c r="J367" i="15"/>
  <c r="I367" i="15"/>
  <c r="J366" i="15"/>
  <c r="I366" i="15"/>
  <c r="J365" i="15"/>
  <c r="I365" i="15"/>
  <c r="J364" i="15"/>
  <c r="I364" i="15"/>
  <c r="J363" i="15"/>
  <c r="I363" i="15"/>
  <c r="J362" i="15"/>
  <c r="I362" i="15"/>
  <c r="J361" i="15"/>
  <c r="I361" i="15"/>
  <c r="J360" i="15"/>
  <c r="I360" i="15"/>
  <c r="J359" i="15"/>
  <c r="I359" i="15"/>
  <c r="J358" i="15"/>
  <c r="I358" i="15"/>
  <c r="J357" i="15"/>
  <c r="I357" i="15"/>
  <c r="J356" i="15"/>
  <c r="I356" i="15"/>
  <c r="J355" i="15"/>
  <c r="I355" i="15"/>
  <c r="J354" i="15"/>
  <c r="I354" i="15"/>
  <c r="J353" i="15"/>
  <c r="I353" i="15"/>
  <c r="J352" i="15"/>
  <c r="I352" i="15"/>
  <c r="J351" i="15"/>
  <c r="I351" i="15"/>
  <c r="J350" i="15"/>
  <c r="I350" i="15"/>
  <c r="J349" i="15"/>
  <c r="I349" i="15"/>
  <c r="J348" i="15"/>
  <c r="I348" i="15"/>
  <c r="J347" i="15"/>
  <c r="I347" i="15"/>
  <c r="J346" i="15"/>
  <c r="I346" i="15"/>
  <c r="J345" i="15"/>
  <c r="I345" i="15"/>
  <c r="J344" i="15"/>
  <c r="I344" i="15"/>
  <c r="J343" i="15"/>
  <c r="I343" i="15"/>
  <c r="J342" i="15"/>
  <c r="I342" i="15"/>
  <c r="J341" i="15"/>
  <c r="I341" i="15"/>
  <c r="J340" i="15"/>
  <c r="I340" i="15"/>
  <c r="J339" i="15"/>
  <c r="I339" i="15"/>
  <c r="J338" i="15"/>
  <c r="I338" i="15"/>
  <c r="J337" i="15"/>
  <c r="I337" i="15"/>
  <c r="J336" i="15"/>
  <c r="I336" i="15"/>
  <c r="J335" i="15"/>
  <c r="I335" i="15"/>
  <c r="J334" i="15"/>
  <c r="I334" i="15"/>
  <c r="J333" i="15"/>
  <c r="I333" i="15"/>
  <c r="J332" i="15"/>
  <c r="I332" i="15"/>
  <c r="J331" i="15"/>
  <c r="I331" i="15"/>
  <c r="J330" i="15"/>
  <c r="I330" i="15"/>
  <c r="J329" i="15"/>
  <c r="I329" i="15"/>
  <c r="J328" i="15"/>
  <c r="I328" i="15"/>
  <c r="J327" i="15"/>
  <c r="I327" i="15"/>
  <c r="J326" i="15"/>
  <c r="I326" i="15"/>
  <c r="J325" i="15"/>
  <c r="I325" i="15"/>
  <c r="J324" i="15"/>
  <c r="I324" i="15"/>
  <c r="J323" i="15"/>
  <c r="I323" i="15"/>
  <c r="J322" i="15"/>
  <c r="I322" i="15"/>
  <c r="J321" i="15"/>
  <c r="I321" i="15"/>
  <c r="J320" i="15"/>
  <c r="I320" i="15"/>
  <c r="J319" i="15"/>
  <c r="I319" i="15"/>
  <c r="J318" i="15"/>
  <c r="I318" i="15"/>
  <c r="J317" i="15"/>
  <c r="I317" i="15"/>
  <c r="J316" i="15"/>
  <c r="I316" i="15"/>
  <c r="J315" i="15"/>
  <c r="I315" i="15"/>
  <c r="J314" i="15"/>
  <c r="I314" i="15"/>
  <c r="J313" i="15"/>
  <c r="I313" i="15"/>
  <c r="J312" i="15"/>
  <c r="I312" i="15"/>
  <c r="J311" i="15"/>
  <c r="I311" i="15"/>
  <c r="J310" i="15"/>
  <c r="I310" i="15"/>
  <c r="J309" i="15"/>
  <c r="I309" i="15"/>
  <c r="J308" i="15"/>
  <c r="I308" i="15"/>
  <c r="J307" i="15"/>
  <c r="I307" i="15"/>
  <c r="J306" i="15"/>
  <c r="I306" i="15"/>
  <c r="J305" i="15"/>
  <c r="I305" i="15"/>
  <c r="J304" i="15"/>
  <c r="I304" i="15"/>
  <c r="J303" i="15"/>
  <c r="I303" i="15"/>
  <c r="J302" i="15"/>
  <c r="I302" i="15"/>
  <c r="J301" i="15"/>
  <c r="I301" i="15"/>
  <c r="J300" i="15"/>
  <c r="I300" i="15"/>
  <c r="J299" i="15"/>
  <c r="I299" i="15"/>
  <c r="J298" i="15"/>
  <c r="I298" i="15"/>
  <c r="J297" i="15"/>
  <c r="I297" i="15"/>
  <c r="J296" i="15"/>
  <c r="I296" i="15"/>
  <c r="J295" i="15"/>
  <c r="I295" i="15"/>
  <c r="J294" i="15"/>
  <c r="I294" i="15"/>
  <c r="J293" i="15"/>
  <c r="I293" i="15"/>
  <c r="J292" i="15"/>
  <c r="I292" i="15"/>
  <c r="J291" i="15"/>
  <c r="I291" i="15"/>
  <c r="J290" i="15"/>
  <c r="I290" i="15"/>
  <c r="J289" i="15"/>
  <c r="I289" i="15"/>
  <c r="J288" i="15"/>
  <c r="I288" i="15"/>
  <c r="J287" i="15"/>
  <c r="I287" i="15"/>
  <c r="J286" i="15"/>
  <c r="I286" i="15"/>
  <c r="J285" i="15"/>
  <c r="I285" i="15"/>
  <c r="J284" i="15"/>
  <c r="I284" i="15"/>
  <c r="J283" i="15"/>
  <c r="I283" i="15"/>
  <c r="J282" i="15"/>
  <c r="I282" i="15"/>
  <c r="J281" i="15"/>
  <c r="I281" i="15"/>
  <c r="J280" i="15"/>
  <c r="I280" i="15"/>
  <c r="J279" i="15"/>
  <c r="I279" i="15"/>
  <c r="J278" i="15"/>
  <c r="I278" i="15"/>
  <c r="J277" i="15"/>
  <c r="I277" i="15"/>
  <c r="J276" i="15"/>
  <c r="I276" i="15"/>
  <c r="J275" i="15"/>
  <c r="I275" i="15"/>
  <c r="J274" i="15"/>
  <c r="I274" i="15"/>
  <c r="J273" i="15"/>
  <c r="I273" i="15"/>
  <c r="J272" i="15"/>
  <c r="I272" i="15"/>
  <c r="J271" i="15"/>
  <c r="I271" i="15"/>
  <c r="J270" i="15"/>
  <c r="I270" i="15"/>
  <c r="J269" i="15"/>
  <c r="I269" i="15"/>
  <c r="J268" i="15"/>
  <c r="I268" i="15"/>
  <c r="J267" i="15"/>
  <c r="I267" i="15"/>
  <c r="J266" i="15"/>
  <c r="I266" i="15"/>
  <c r="J265" i="15"/>
  <c r="I265" i="15"/>
  <c r="J264" i="15"/>
  <c r="I264" i="15"/>
  <c r="J263" i="15"/>
  <c r="I263" i="15"/>
  <c r="J262" i="15"/>
  <c r="I262" i="15"/>
  <c r="J261" i="15"/>
  <c r="I261" i="15"/>
  <c r="J260" i="15"/>
  <c r="I260" i="15"/>
  <c r="J259" i="15"/>
  <c r="I259" i="15"/>
  <c r="J258" i="15"/>
  <c r="I258" i="15"/>
  <c r="J257" i="15"/>
  <c r="I257" i="15"/>
  <c r="J256" i="15"/>
  <c r="I256" i="15"/>
  <c r="J255" i="15"/>
  <c r="I255" i="15"/>
  <c r="J254" i="15"/>
  <c r="I254" i="15"/>
  <c r="J253" i="15"/>
  <c r="I253" i="15"/>
  <c r="J252" i="15"/>
  <c r="I252" i="15"/>
  <c r="J251" i="15"/>
  <c r="I251" i="15"/>
  <c r="J250" i="15"/>
  <c r="I250" i="15"/>
  <c r="J249" i="15"/>
  <c r="I249" i="15"/>
  <c r="J248" i="15"/>
  <c r="I248" i="15"/>
  <c r="J247" i="15"/>
  <c r="I247" i="15"/>
  <c r="J246" i="15"/>
  <c r="I246" i="15"/>
  <c r="J245" i="15"/>
  <c r="I245" i="15"/>
  <c r="J244" i="15"/>
  <c r="I244" i="15"/>
  <c r="J243" i="15"/>
  <c r="I243" i="15"/>
  <c r="J242" i="15"/>
  <c r="I242" i="15"/>
  <c r="J241" i="15"/>
  <c r="I241" i="15"/>
  <c r="J240" i="15"/>
  <c r="I240" i="15"/>
  <c r="J239" i="15"/>
  <c r="I239" i="15"/>
  <c r="J238" i="15"/>
  <c r="I238" i="15"/>
  <c r="J237" i="15"/>
  <c r="I237" i="15"/>
  <c r="J236" i="15"/>
  <c r="I236" i="15"/>
  <c r="J235" i="15"/>
  <c r="I235" i="15"/>
  <c r="J234" i="15"/>
  <c r="I234" i="15"/>
  <c r="J233" i="15"/>
  <c r="I233" i="15"/>
  <c r="J232" i="15"/>
  <c r="I232" i="15"/>
  <c r="J231" i="15"/>
  <c r="I231" i="15"/>
  <c r="J230" i="15"/>
  <c r="I230" i="15"/>
  <c r="J229" i="15"/>
  <c r="I229" i="15"/>
  <c r="J228" i="15"/>
  <c r="I228" i="15"/>
  <c r="J227" i="15"/>
  <c r="I227" i="15"/>
  <c r="J226" i="15"/>
  <c r="I226" i="15"/>
  <c r="J225" i="15"/>
  <c r="I225" i="15"/>
  <c r="J224" i="15"/>
  <c r="I224" i="15"/>
  <c r="J223" i="15"/>
  <c r="I223" i="15"/>
  <c r="J222" i="15"/>
  <c r="I222" i="15"/>
  <c r="J221" i="15"/>
  <c r="I221" i="15"/>
  <c r="J220" i="15"/>
  <c r="I220" i="15"/>
  <c r="J219" i="15"/>
  <c r="I219" i="15"/>
  <c r="J218" i="15"/>
  <c r="I218" i="15"/>
  <c r="J217" i="15"/>
  <c r="I217" i="15"/>
  <c r="J216" i="15"/>
  <c r="I216" i="15"/>
  <c r="J215" i="15"/>
  <c r="I215" i="15"/>
  <c r="J214" i="15"/>
  <c r="I214" i="15"/>
  <c r="J213" i="15"/>
  <c r="I213" i="15"/>
  <c r="J212" i="15"/>
  <c r="I212" i="15"/>
  <c r="J211" i="15"/>
  <c r="I211" i="15"/>
  <c r="J210" i="15"/>
  <c r="I210" i="15"/>
  <c r="J209" i="15"/>
  <c r="I209" i="15"/>
  <c r="J208" i="15"/>
  <c r="I208" i="15"/>
  <c r="J207" i="15"/>
  <c r="I207" i="15"/>
  <c r="J206" i="15"/>
  <c r="I206" i="15"/>
  <c r="J205" i="15"/>
  <c r="I205" i="15"/>
  <c r="J204" i="15"/>
  <c r="I204" i="15"/>
  <c r="J203" i="15"/>
  <c r="I203" i="15"/>
  <c r="J202" i="15"/>
  <c r="I202" i="15"/>
  <c r="J201" i="15"/>
  <c r="I201" i="15"/>
  <c r="J200" i="15"/>
  <c r="I200" i="15"/>
  <c r="J199" i="15"/>
  <c r="I199" i="15"/>
  <c r="J198" i="15"/>
  <c r="I198" i="15"/>
  <c r="J197" i="15"/>
  <c r="I197" i="15"/>
  <c r="J196" i="15"/>
  <c r="I196" i="15"/>
  <c r="J195" i="15"/>
  <c r="I195" i="15"/>
  <c r="J194" i="15"/>
  <c r="I194" i="15"/>
  <c r="J193" i="15"/>
  <c r="I193" i="15"/>
  <c r="J192" i="15"/>
  <c r="I192" i="15"/>
  <c r="J191" i="15"/>
  <c r="I191" i="15"/>
  <c r="J190" i="15"/>
  <c r="I190" i="15"/>
  <c r="J189" i="15"/>
  <c r="I189" i="15"/>
  <c r="J188" i="15"/>
  <c r="I188" i="15"/>
  <c r="J187" i="15"/>
  <c r="I187" i="15"/>
  <c r="J186" i="15"/>
  <c r="I186" i="15"/>
  <c r="J185" i="15"/>
  <c r="I185" i="15"/>
  <c r="J184" i="15"/>
  <c r="I184" i="15"/>
  <c r="J183" i="15"/>
  <c r="I183" i="15"/>
  <c r="J182" i="15"/>
  <c r="I182" i="15"/>
  <c r="J181" i="15"/>
  <c r="I181" i="15"/>
  <c r="J180" i="15"/>
  <c r="I180" i="15"/>
  <c r="J179" i="15"/>
  <c r="I179" i="15"/>
  <c r="J178" i="15"/>
  <c r="I178" i="15"/>
  <c r="J177" i="15"/>
  <c r="I177" i="15"/>
  <c r="J176" i="15"/>
  <c r="I176" i="15"/>
  <c r="J175" i="15"/>
  <c r="I175" i="15"/>
  <c r="J174" i="15"/>
  <c r="I174" i="15"/>
  <c r="J173" i="15"/>
  <c r="I173" i="15"/>
  <c r="J172" i="15"/>
  <c r="I172" i="15"/>
  <c r="J171" i="15"/>
  <c r="I171" i="15"/>
  <c r="J170" i="15"/>
  <c r="I170" i="15"/>
  <c r="J169" i="15"/>
  <c r="I169" i="15"/>
  <c r="J168" i="15"/>
  <c r="I168" i="15"/>
  <c r="J167" i="15"/>
  <c r="I167" i="15"/>
  <c r="J166" i="15"/>
  <c r="I166" i="15"/>
  <c r="J165" i="15"/>
  <c r="I165" i="15"/>
  <c r="J164" i="15"/>
  <c r="I164" i="15"/>
  <c r="J163" i="15"/>
  <c r="I163" i="15"/>
  <c r="J162" i="15"/>
  <c r="I162" i="15"/>
  <c r="J161" i="15"/>
  <c r="I161" i="15"/>
  <c r="J160" i="15"/>
  <c r="I160" i="15"/>
  <c r="J159" i="15"/>
  <c r="I159" i="15"/>
  <c r="J158" i="15"/>
  <c r="I158" i="15"/>
  <c r="J157" i="15"/>
  <c r="I157" i="15"/>
  <c r="J156" i="15"/>
  <c r="I156" i="15"/>
  <c r="J155" i="15"/>
  <c r="I155" i="15"/>
  <c r="J154" i="15"/>
  <c r="I154" i="15"/>
  <c r="J153" i="15"/>
  <c r="I153" i="15"/>
  <c r="J152" i="15"/>
  <c r="I152" i="15"/>
  <c r="J151" i="15"/>
  <c r="I151" i="15"/>
  <c r="J150" i="15"/>
  <c r="I150" i="15"/>
  <c r="J149" i="15"/>
  <c r="I149" i="15"/>
  <c r="J148" i="15"/>
  <c r="I148" i="15"/>
  <c r="J147" i="15"/>
  <c r="I147" i="15"/>
  <c r="J146" i="15"/>
  <c r="I146" i="15"/>
  <c r="J145" i="15"/>
  <c r="I145" i="15"/>
  <c r="J144" i="15"/>
  <c r="I144" i="15"/>
  <c r="J143" i="15"/>
  <c r="I143" i="15"/>
  <c r="J142" i="15"/>
  <c r="I142" i="15"/>
  <c r="J141" i="15"/>
  <c r="I141" i="15"/>
  <c r="J140" i="15"/>
  <c r="I140" i="15"/>
  <c r="J139" i="15"/>
  <c r="I139" i="15"/>
  <c r="J138" i="15"/>
  <c r="I138" i="15"/>
  <c r="J137" i="15"/>
  <c r="I137" i="15"/>
  <c r="J136" i="15"/>
  <c r="I136" i="15"/>
  <c r="J135" i="15"/>
  <c r="I135" i="15"/>
  <c r="J134" i="15"/>
  <c r="I134" i="15"/>
  <c r="J133" i="15"/>
  <c r="I133" i="15"/>
  <c r="J132" i="15"/>
  <c r="I132" i="15"/>
  <c r="J131" i="15"/>
  <c r="I131" i="15"/>
  <c r="J130" i="15"/>
  <c r="I130" i="15"/>
  <c r="J129" i="15"/>
  <c r="I129" i="15"/>
  <c r="J128" i="15"/>
  <c r="I128" i="15"/>
  <c r="J127" i="15"/>
  <c r="I127" i="15"/>
  <c r="J126" i="15"/>
  <c r="I126" i="15"/>
  <c r="J125" i="15"/>
  <c r="I125" i="15"/>
  <c r="J124" i="15"/>
  <c r="I124" i="15"/>
  <c r="J123" i="15"/>
  <c r="I123" i="15"/>
  <c r="J122" i="15"/>
  <c r="I122" i="15"/>
  <c r="J121" i="15"/>
  <c r="I121" i="15"/>
  <c r="J120" i="15"/>
  <c r="I120" i="15"/>
  <c r="J119" i="15"/>
  <c r="I119" i="15"/>
  <c r="J118" i="15"/>
  <c r="I118" i="15"/>
  <c r="J117" i="15"/>
  <c r="I117" i="15"/>
  <c r="J116" i="15"/>
  <c r="I116" i="15"/>
  <c r="J115" i="15"/>
  <c r="I115" i="15"/>
  <c r="J114" i="15"/>
  <c r="I114" i="15"/>
  <c r="J113" i="15"/>
  <c r="I113" i="15"/>
  <c r="J112" i="15"/>
  <c r="I112" i="15"/>
  <c r="J111" i="15"/>
  <c r="I111" i="15"/>
  <c r="J110" i="15"/>
  <c r="I110" i="15"/>
  <c r="J109" i="15"/>
  <c r="I109" i="15"/>
  <c r="J108" i="15"/>
  <c r="I108" i="15"/>
  <c r="J107" i="15"/>
  <c r="I107" i="15"/>
  <c r="J106" i="15"/>
  <c r="I106" i="15"/>
  <c r="J105" i="15"/>
  <c r="I105" i="15"/>
  <c r="J104" i="15"/>
  <c r="I104" i="15"/>
  <c r="J103" i="15"/>
  <c r="I103" i="15"/>
  <c r="J102" i="15"/>
  <c r="I102" i="15"/>
  <c r="J101" i="15"/>
  <c r="I101" i="15"/>
  <c r="J100" i="15"/>
  <c r="I100" i="15"/>
  <c r="J99" i="15"/>
  <c r="I99" i="15"/>
  <c r="J98" i="15"/>
  <c r="I98" i="15"/>
  <c r="J97" i="15"/>
  <c r="I97" i="15"/>
  <c r="J96" i="15"/>
  <c r="I96" i="15"/>
  <c r="J95" i="15"/>
  <c r="I95" i="15"/>
  <c r="J94" i="15"/>
  <c r="I94" i="15"/>
  <c r="J93" i="15"/>
  <c r="I93" i="15"/>
  <c r="J92" i="15"/>
  <c r="I92" i="15"/>
  <c r="J91" i="15"/>
  <c r="I91" i="15"/>
  <c r="J90" i="15"/>
  <c r="I90" i="15"/>
  <c r="J89" i="15"/>
  <c r="I89" i="15"/>
  <c r="J88" i="15"/>
  <c r="I88" i="15"/>
  <c r="J87" i="15"/>
  <c r="I87" i="15"/>
  <c r="J86" i="15"/>
  <c r="I86" i="15"/>
  <c r="J85" i="15"/>
  <c r="I85" i="15"/>
  <c r="J84" i="15"/>
  <c r="I84" i="15"/>
  <c r="J83" i="15"/>
  <c r="I83" i="15"/>
  <c r="J82" i="15"/>
  <c r="I82" i="15"/>
  <c r="J81" i="15"/>
  <c r="I81" i="15"/>
  <c r="J80" i="15"/>
  <c r="I80" i="15"/>
  <c r="J79" i="15"/>
  <c r="I79" i="15"/>
  <c r="J78" i="15"/>
  <c r="I78" i="15"/>
  <c r="J77" i="15"/>
  <c r="I77" i="15"/>
  <c r="J76" i="15"/>
  <c r="I76" i="15"/>
  <c r="J75" i="15"/>
  <c r="I75" i="15"/>
  <c r="J74" i="15"/>
  <c r="I74" i="15"/>
  <c r="J73" i="15"/>
  <c r="I73" i="15"/>
  <c r="J72" i="15"/>
  <c r="I72" i="15"/>
  <c r="J71" i="15"/>
  <c r="I71" i="15"/>
  <c r="J70" i="15"/>
  <c r="I70" i="15"/>
  <c r="J69" i="15"/>
  <c r="I69" i="15"/>
  <c r="J68" i="15"/>
  <c r="I68" i="15"/>
  <c r="J67" i="15"/>
  <c r="I67" i="15"/>
  <c r="J66" i="15"/>
  <c r="I66" i="15"/>
  <c r="J65" i="15"/>
  <c r="I65" i="15"/>
  <c r="J64" i="15"/>
  <c r="I64" i="15"/>
  <c r="J63" i="15"/>
  <c r="I63" i="15"/>
  <c r="J62" i="15"/>
  <c r="I62" i="15"/>
  <c r="J61" i="15"/>
  <c r="I61" i="15"/>
  <c r="J60" i="15"/>
  <c r="I60" i="15"/>
  <c r="J59" i="15"/>
  <c r="I59" i="15"/>
  <c r="J58" i="15"/>
  <c r="I58" i="15"/>
  <c r="J57" i="15"/>
  <c r="I57" i="15"/>
  <c r="J56" i="15"/>
  <c r="I56" i="15"/>
  <c r="J55" i="15"/>
  <c r="I55" i="15"/>
  <c r="J54" i="15"/>
  <c r="I54" i="15"/>
  <c r="J53" i="15"/>
  <c r="I53" i="15"/>
  <c r="J52" i="15"/>
  <c r="I52" i="15"/>
  <c r="J51" i="15"/>
  <c r="I51" i="15"/>
  <c r="J50" i="15"/>
  <c r="I50" i="15"/>
  <c r="J49" i="15"/>
  <c r="I49" i="15"/>
  <c r="J48" i="15"/>
  <c r="I48" i="15"/>
  <c r="J47" i="15"/>
  <c r="I47" i="15"/>
  <c r="J46" i="15"/>
  <c r="I46" i="15"/>
  <c r="J45" i="15"/>
  <c r="I45" i="15"/>
  <c r="J44" i="15"/>
  <c r="I44" i="15"/>
  <c r="J43" i="15"/>
  <c r="I43" i="15"/>
  <c r="J42" i="15"/>
  <c r="I42" i="15"/>
  <c r="J41" i="15"/>
  <c r="I41" i="15"/>
  <c r="J40" i="15"/>
  <c r="I40" i="15"/>
  <c r="J39" i="15"/>
  <c r="I39" i="15"/>
  <c r="J38" i="15"/>
  <c r="I38" i="15"/>
  <c r="J37" i="15"/>
  <c r="I37" i="15"/>
  <c r="J36" i="15"/>
  <c r="I36" i="15"/>
  <c r="J35" i="15"/>
  <c r="I35" i="15"/>
  <c r="J34" i="15"/>
  <c r="I34" i="15"/>
  <c r="J33" i="15"/>
  <c r="I33" i="15"/>
  <c r="J32" i="15"/>
  <c r="I32" i="15"/>
  <c r="J31" i="15"/>
  <c r="I31" i="15"/>
  <c r="J30" i="15"/>
  <c r="I30" i="15"/>
  <c r="J29" i="15"/>
  <c r="I29" i="15"/>
  <c r="J28" i="15"/>
  <c r="I28" i="15"/>
  <c r="J27" i="15"/>
  <c r="I27" i="15"/>
  <c r="J26" i="15"/>
  <c r="I26" i="15"/>
  <c r="J25" i="15"/>
  <c r="I25" i="15"/>
  <c r="J24" i="15"/>
  <c r="I24" i="15"/>
  <c r="J23" i="15"/>
  <c r="I23" i="15"/>
  <c r="J22" i="15"/>
  <c r="I22" i="15"/>
  <c r="J21" i="15"/>
  <c r="I21" i="15"/>
  <c r="J20" i="15"/>
  <c r="I20" i="15"/>
  <c r="J19" i="15"/>
  <c r="I19" i="15"/>
  <c r="J18" i="15"/>
  <c r="I18" i="15"/>
  <c r="J17" i="15"/>
  <c r="I17" i="15"/>
  <c r="J16" i="15"/>
  <c r="I16" i="15"/>
  <c r="J15" i="15"/>
  <c r="I15" i="15"/>
  <c r="J14" i="15"/>
  <c r="I14" i="15"/>
  <c r="J13" i="15"/>
  <c r="I13" i="15"/>
  <c r="J12" i="15"/>
  <c r="I12" i="15"/>
  <c r="J11" i="15"/>
  <c r="I11" i="15"/>
  <c r="J10" i="15"/>
  <c r="I10" i="15"/>
  <c r="J9" i="15"/>
  <c r="I9" i="15"/>
  <c r="J8" i="15"/>
  <c r="I8" i="15"/>
  <c r="J7" i="15"/>
  <c r="I7" i="15"/>
  <c r="J6" i="15"/>
  <c r="I6" i="15"/>
  <c r="J5" i="15"/>
  <c r="I5" i="15"/>
  <c r="F30" i="14"/>
  <c r="C27" i="14"/>
  <c r="F21" i="14"/>
  <c r="C19" i="14"/>
  <c r="C15" i="14"/>
  <c r="C21" i="14" s="1"/>
  <c r="G224" i="3" l="1"/>
  <c r="H223" i="3"/>
  <c r="E3" i="13"/>
  <c r="E6" i="13" s="1"/>
  <c r="F6" i="13" s="1"/>
  <c r="J30" i="11"/>
  <c r="J26" i="11"/>
  <c r="J38" i="11"/>
  <c r="J13" i="11"/>
  <c r="C15" i="13"/>
  <c r="F15" i="13" s="1"/>
  <c r="J29" i="11" s="1"/>
  <c r="E8" i="13"/>
  <c r="F8" i="13" s="1"/>
  <c r="F9" i="13"/>
  <c r="F7" i="13"/>
  <c r="F14" i="13"/>
  <c r="F13" i="13"/>
  <c r="F12" i="13"/>
  <c r="E11" i="13"/>
  <c r="F11" i="13" s="1"/>
  <c r="E20" i="13"/>
  <c r="F20" i="13" s="1"/>
  <c r="F10" i="13"/>
  <c r="E21" i="13"/>
  <c r="F21" i="13" s="1"/>
  <c r="K20" i="5"/>
  <c r="G225" i="3" l="1"/>
  <c r="H224" i="3"/>
  <c r="F3" i="13"/>
  <c r="J49" i="11"/>
  <c r="G226" i="3" l="1"/>
  <c r="H225" i="3"/>
  <c r="J39" i="11"/>
  <c r="J62" i="11" s="1"/>
  <c r="F70" i="13"/>
  <c r="G227" i="3" l="1"/>
  <c r="H226" i="3"/>
  <c r="F60" i="11"/>
  <c r="M60" i="11" s="1"/>
  <c r="F56" i="11"/>
  <c r="M56" i="11" s="1"/>
  <c r="F55" i="11"/>
  <c r="M55" i="11" s="1"/>
  <c r="F54" i="11"/>
  <c r="M54" i="11" s="1"/>
  <c r="F52" i="11"/>
  <c r="M52" i="11" s="1"/>
  <c r="F50" i="11"/>
  <c r="M50" i="11" s="1"/>
  <c r="F44" i="11"/>
  <c r="M44" i="11" s="1"/>
  <c r="F43" i="11"/>
  <c r="M43" i="11" s="1"/>
  <c r="F42" i="11"/>
  <c r="M42" i="11" s="1"/>
  <c r="F41" i="11"/>
  <c r="M41" i="11" s="1"/>
  <c r="F39" i="11"/>
  <c r="M39" i="11" s="1"/>
  <c r="F37" i="11"/>
  <c r="M37" i="11" s="1"/>
  <c r="F33" i="11"/>
  <c r="M33" i="11" s="1"/>
  <c r="F32" i="11"/>
  <c r="M32" i="11" s="1"/>
  <c r="F21" i="11"/>
  <c r="M21" i="11" s="1"/>
  <c r="F20" i="11"/>
  <c r="M20" i="11" s="1"/>
  <c r="F19" i="11"/>
  <c r="M19" i="11" s="1"/>
  <c r="F18" i="11"/>
  <c r="M18" i="11" s="1"/>
  <c r="F17" i="11"/>
  <c r="M17" i="11" s="1"/>
  <c r="F16" i="11"/>
  <c r="M16" i="11" s="1"/>
  <c r="F15" i="11"/>
  <c r="M15" i="11" s="1"/>
  <c r="F14" i="11"/>
  <c r="M14" i="11" s="1"/>
  <c r="F12" i="11"/>
  <c r="M12" i="11" s="1"/>
  <c r="F11" i="11"/>
  <c r="M11" i="11" s="1"/>
  <c r="DW4" i="12"/>
  <c r="G228" i="3" l="1"/>
  <c r="H227" i="3"/>
  <c r="D599" i="1"/>
  <c r="D595" i="1"/>
  <c r="G229" i="3" l="1"/>
  <c r="H228" i="3"/>
  <c r="G595" i="1"/>
  <c r="F595" i="1"/>
  <c r="E595" i="1"/>
  <c r="G593" i="1"/>
  <c r="F593" i="1"/>
  <c r="E593" i="1"/>
  <c r="D593" i="1"/>
  <c r="A352" i="2"/>
  <c r="I592" i="1"/>
  <c r="J592" i="1"/>
  <c r="K352" i="2"/>
  <c r="G230" i="3" l="1"/>
  <c r="H229" i="3"/>
  <c r="F598" i="1"/>
  <c r="F601" i="1" s="1"/>
  <c r="D598" i="1"/>
  <c r="B598" i="1" s="1"/>
  <c r="D76" i="5"/>
  <c r="G231" i="3" l="1"/>
  <c r="H230" i="3"/>
  <c r="D601" i="1"/>
  <c r="I601" i="1" s="1"/>
  <c r="A8" i="2"/>
  <c r="A9" i="2"/>
  <c r="A10" i="2"/>
  <c r="A11" i="2"/>
  <c r="A12" i="2"/>
  <c r="A13" i="2"/>
  <c r="A14" i="2"/>
  <c r="A15" i="2"/>
  <c r="A16" i="2"/>
  <c r="A17" i="2"/>
  <c r="A18" i="2"/>
  <c r="A19" i="2"/>
  <c r="A20" i="2"/>
  <c r="A21" i="2"/>
  <c r="A22" i="2"/>
  <c r="A23" i="2"/>
  <c r="A24" i="2"/>
  <c r="A25" i="2"/>
  <c r="A26" i="2"/>
  <c r="A27" i="2"/>
  <c r="A28" i="2"/>
  <c r="A29" i="2"/>
  <c r="A30" i="2"/>
  <c r="A31" i="2"/>
  <c r="A32" i="2"/>
  <c r="A33" i="2"/>
  <c r="A34" i="2"/>
  <c r="A35" i="2"/>
  <c r="A36" i="2"/>
  <c r="A37" i="2"/>
  <c r="A38" i="2"/>
  <c r="A39" i="2"/>
  <c r="A40" i="2"/>
  <c r="A41" i="2"/>
  <c r="A42" i="2"/>
  <c r="A43" i="2"/>
  <c r="A44" i="2"/>
  <c r="A45" i="2"/>
  <c r="A46" i="2"/>
  <c r="A47" i="2"/>
  <c r="A48" i="2"/>
  <c r="A49" i="2"/>
  <c r="A50" i="2"/>
  <c r="A51" i="2"/>
  <c r="A52" i="2"/>
  <c r="A53" i="2"/>
  <c r="A54" i="2"/>
  <c r="A55" i="2"/>
  <c r="A56" i="2"/>
  <c r="A57" i="2"/>
  <c r="A58" i="2"/>
  <c r="A59" i="2"/>
  <c r="A60" i="2"/>
  <c r="A61" i="2"/>
  <c r="A62" i="2"/>
  <c r="A63" i="2"/>
  <c r="A64" i="2"/>
  <c r="A65" i="2"/>
  <c r="A66" i="2"/>
  <c r="A67" i="2"/>
  <c r="A68" i="2"/>
  <c r="A69" i="2"/>
  <c r="A70" i="2"/>
  <c r="A71" i="2"/>
  <c r="A72" i="2"/>
  <c r="A73" i="2"/>
  <c r="A74" i="2"/>
  <c r="A75" i="2"/>
  <c r="A76" i="2"/>
  <c r="A77" i="2"/>
  <c r="A78" i="2"/>
  <c r="A79" i="2"/>
  <c r="A80" i="2"/>
  <c r="A81" i="2"/>
  <c r="A82" i="2"/>
  <c r="A83" i="2"/>
  <c r="A84" i="2"/>
  <c r="A85" i="2"/>
  <c r="A86" i="2"/>
  <c r="A87" i="2"/>
  <c r="A88" i="2"/>
  <c r="A89" i="2"/>
  <c r="A90" i="2"/>
  <c r="A91" i="2"/>
  <c r="A92" i="2"/>
  <c r="A93" i="2"/>
  <c r="A94" i="2"/>
  <c r="A95" i="2"/>
  <c r="A96" i="2"/>
  <c r="A97" i="2"/>
  <c r="A98" i="2"/>
  <c r="A99" i="2"/>
  <c r="A100" i="2"/>
  <c r="A101" i="2"/>
  <c r="A102" i="2"/>
  <c r="A103" i="2"/>
  <c r="A104" i="2"/>
  <c r="A105" i="2"/>
  <c r="A106" i="2"/>
  <c r="A107" i="2"/>
  <c r="A108" i="2"/>
  <c r="A109" i="2"/>
  <c r="A110" i="2"/>
  <c r="A111" i="2"/>
  <c r="A112" i="2"/>
  <c r="A113" i="2"/>
  <c r="A114" i="2"/>
  <c r="A115" i="2"/>
  <c r="A116" i="2"/>
  <c r="A117" i="2"/>
  <c r="A118" i="2"/>
  <c r="A119" i="2"/>
  <c r="A120" i="2"/>
  <c r="A121" i="2"/>
  <c r="A122" i="2"/>
  <c r="A123" i="2"/>
  <c r="A124" i="2"/>
  <c r="A125" i="2"/>
  <c r="A126" i="2"/>
  <c r="A127" i="2"/>
  <c r="A128" i="2"/>
  <c r="A129" i="2"/>
  <c r="A130" i="2"/>
  <c r="A131" i="2"/>
  <c r="A132" i="2"/>
  <c r="A133" i="2"/>
  <c r="A134" i="2"/>
  <c r="A135" i="2"/>
  <c r="A136" i="2"/>
  <c r="A137" i="2"/>
  <c r="A138" i="2"/>
  <c r="A139" i="2"/>
  <c r="A140" i="2"/>
  <c r="A141" i="2"/>
  <c r="A142" i="2"/>
  <c r="A143" i="2"/>
  <c r="A144" i="2"/>
  <c r="A145" i="2"/>
  <c r="A146" i="2"/>
  <c r="A147" i="2"/>
  <c r="A148" i="2"/>
  <c r="A149" i="2"/>
  <c r="A150" i="2"/>
  <c r="A151" i="2"/>
  <c r="A152" i="2"/>
  <c r="A153" i="2"/>
  <c r="A154" i="2"/>
  <c r="A155" i="2"/>
  <c r="A156" i="2"/>
  <c r="A157" i="2"/>
  <c r="A158" i="2"/>
  <c r="A159" i="2"/>
  <c r="A160" i="2"/>
  <c r="A161" i="2"/>
  <c r="A162" i="2"/>
  <c r="A163" i="2"/>
  <c r="A164" i="2"/>
  <c r="A165" i="2"/>
  <c r="A166" i="2"/>
  <c r="A167" i="2"/>
  <c r="A168" i="2"/>
  <c r="A169" i="2"/>
  <c r="A170" i="2"/>
  <c r="A171" i="2"/>
  <c r="A172" i="2"/>
  <c r="A173" i="2"/>
  <c r="A174" i="2"/>
  <c r="A175" i="2"/>
  <c r="A176" i="2"/>
  <c r="A177" i="2"/>
  <c r="A178" i="2"/>
  <c r="A179" i="2"/>
  <c r="A180" i="2"/>
  <c r="A181" i="2"/>
  <c r="A182" i="2"/>
  <c r="A183" i="2"/>
  <c r="A184" i="2"/>
  <c r="A185" i="2"/>
  <c r="A186" i="2"/>
  <c r="A187" i="2"/>
  <c r="A188" i="2"/>
  <c r="A189" i="2"/>
  <c r="A190" i="2"/>
  <c r="A191" i="2"/>
  <c r="A192" i="2"/>
  <c r="A193" i="2"/>
  <c r="A194" i="2"/>
  <c r="A195" i="2"/>
  <c r="A196" i="2"/>
  <c r="A197" i="2"/>
  <c r="A198" i="2"/>
  <c r="A199" i="2"/>
  <c r="A200" i="2"/>
  <c r="A201" i="2"/>
  <c r="A202" i="2"/>
  <c r="A203" i="2"/>
  <c r="A204" i="2"/>
  <c r="A205" i="2"/>
  <c r="A206" i="2"/>
  <c r="A207" i="2"/>
  <c r="A208" i="2"/>
  <c r="A209" i="2"/>
  <c r="A210" i="2"/>
  <c r="A211" i="2"/>
  <c r="A212" i="2"/>
  <c r="A213" i="2"/>
  <c r="A214" i="2"/>
  <c r="A215" i="2"/>
  <c r="A216" i="2"/>
  <c r="A217" i="2"/>
  <c r="A218" i="2"/>
  <c r="A219" i="2"/>
  <c r="A220" i="2"/>
  <c r="A221" i="2"/>
  <c r="A222" i="2"/>
  <c r="A223" i="2"/>
  <c r="A224" i="2"/>
  <c r="A225" i="2"/>
  <c r="A226" i="2"/>
  <c r="A227" i="2"/>
  <c r="A228" i="2"/>
  <c r="A229" i="2"/>
  <c r="A230" i="2"/>
  <c r="A231" i="2"/>
  <c r="A232" i="2"/>
  <c r="A233" i="2"/>
  <c r="A234" i="2"/>
  <c r="A235" i="2"/>
  <c r="A236" i="2"/>
  <c r="A237" i="2"/>
  <c r="A238" i="2"/>
  <c r="A239" i="2"/>
  <c r="A240" i="2"/>
  <c r="A241" i="2"/>
  <c r="A242" i="2"/>
  <c r="A243" i="2"/>
  <c r="A244" i="2"/>
  <c r="A245" i="2"/>
  <c r="A246" i="2"/>
  <c r="A247" i="2"/>
  <c r="A248" i="2"/>
  <c r="A249" i="2"/>
  <c r="A250" i="2"/>
  <c r="A251" i="2"/>
  <c r="A252" i="2"/>
  <c r="A253" i="2"/>
  <c r="A254" i="2"/>
  <c r="A255" i="2"/>
  <c r="A256" i="2"/>
  <c r="A257" i="2"/>
  <c r="A258" i="2"/>
  <c r="A259" i="2"/>
  <c r="A260" i="2"/>
  <c r="A261" i="2"/>
  <c r="A262" i="2"/>
  <c r="A263" i="2"/>
  <c r="A264" i="2"/>
  <c r="A265" i="2"/>
  <c r="A266" i="2"/>
  <c r="A267" i="2"/>
  <c r="A268" i="2"/>
  <c r="A269" i="2"/>
  <c r="A270" i="2"/>
  <c r="A271" i="2"/>
  <c r="A272" i="2"/>
  <c r="A273" i="2"/>
  <c r="A274" i="2"/>
  <c r="A275" i="2"/>
  <c r="A276" i="2"/>
  <c r="A277" i="2"/>
  <c r="A278" i="2"/>
  <c r="A279" i="2"/>
  <c r="A280" i="2"/>
  <c r="A281" i="2"/>
  <c r="A282" i="2"/>
  <c r="A283" i="2"/>
  <c r="A284" i="2"/>
  <c r="A285" i="2"/>
  <c r="A286" i="2"/>
  <c r="A287" i="2"/>
  <c r="A288" i="2"/>
  <c r="A289" i="2"/>
  <c r="A290" i="2"/>
  <c r="A291" i="2"/>
  <c r="A292" i="2"/>
  <c r="A293" i="2"/>
  <c r="A294" i="2"/>
  <c r="A295" i="2"/>
  <c r="A296" i="2"/>
  <c r="A297" i="2"/>
  <c r="A298" i="2"/>
  <c r="A299" i="2"/>
  <c r="A300" i="2"/>
  <c r="A301" i="2"/>
  <c r="A302" i="2"/>
  <c r="A303" i="2"/>
  <c r="A304" i="2"/>
  <c r="A305" i="2"/>
  <c r="A306" i="2"/>
  <c r="A307" i="2"/>
  <c r="A308" i="2"/>
  <c r="A309" i="2"/>
  <c r="A310" i="2"/>
  <c r="A311" i="2"/>
  <c r="A312" i="2"/>
  <c r="A313" i="2"/>
  <c r="A314" i="2"/>
  <c r="A315" i="2"/>
  <c r="A316" i="2"/>
  <c r="A317" i="2"/>
  <c r="A318" i="2"/>
  <c r="A319" i="2"/>
  <c r="A320" i="2"/>
  <c r="A321" i="2"/>
  <c r="A322" i="2"/>
  <c r="A323" i="2"/>
  <c r="A324" i="2"/>
  <c r="A325" i="2"/>
  <c r="A326" i="2"/>
  <c r="A327" i="2"/>
  <c r="A328" i="2"/>
  <c r="A329" i="2"/>
  <c r="A330" i="2"/>
  <c r="A331" i="2"/>
  <c r="A332" i="2"/>
  <c r="A333" i="2"/>
  <c r="A334" i="2"/>
  <c r="A335" i="2"/>
  <c r="A336" i="2"/>
  <c r="A337" i="2"/>
  <c r="A338" i="2"/>
  <c r="A339" i="2"/>
  <c r="A340" i="2"/>
  <c r="A341" i="2"/>
  <c r="A342" i="2"/>
  <c r="A343" i="2"/>
  <c r="A344" i="2"/>
  <c r="A345" i="2"/>
  <c r="A346" i="2"/>
  <c r="A347" i="2"/>
  <c r="A348" i="2"/>
  <c r="A349" i="2"/>
  <c r="A350" i="2"/>
  <c r="A351" i="2"/>
  <c r="A7" i="2"/>
  <c r="G232" i="3" l="1"/>
  <c r="H231" i="3"/>
  <c r="F315" i="2"/>
  <c r="K315" i="2"/>
  <c r="G233" i="3" l="1"/>
  <c r="H232" i="3"/>
  <c r="I547" i="1"/>
  <c r="I548" i="1"/>
  <c r="I549" i="1"/>
  <c r="I550" i="1"/>
  <c r="I551" i="1"/>
  <c r="I552" i="1"/>
  <c r="I553" i="1"/>
  <c r="I554" i="1"/>
  <c r="I555" i="1"/>
  <c r="I556" i="1"/>
  <c r="I557" i="1"/>
  <c r="I558" i="1"/>
  <c r="I559" i="1"/>
  <c r="I560" i="1"/>
  <c r="I561" i="1"/>
  <c r="I562" i="1"/>
  <c r="I563" i="1"/>
  <c r="I564" i="1"/>
  <c r="I565" i="1"/>
  <c r="I566" i="1"/>
  <c r="I567" i="1"/>
  <c r="I568" i="1"/>
  <c r="I569" i="1"/>
  <c r="I570" i="1"/>
  <c r="I571" i="1"/>
  <c r="I572" i="1"/>
  <c r="I573" i="1"/>
  <c r="I574" i="1"/>
  <c r="I575" i="1"/>
  <c r="I576" i="1"/>
  <c r="I577" i="1"/>
  <c r="I578" i="1"/>
  <c r="I579" i="1"/>
  <c r="I580" i="1"/>
  <c r="I581" i="1"/>
  <c r="I582" i="1"/>
  <c r="I583" i="1"/>
  <c r="I584" i="1"/>
  <c r="I585" i="1"/>
  <c r="I586" i="1"/>
  <c r="I587" i="1"/>
  <c r="I588" i="1"/>
  <c r="I589" i="1"/>
  <c r="I590" i="1"/>
  <c r="I591" i="1"/>
  <c r="F16" i="2"/>
  <c r="K16" i="2"/>
  <c r="F46" i="2"/>
  <c r="K46" i="2"/>
  <c r="F94" i="2"/>
  <c r="K94" i="2"/>
  <c r="F122" i="2"/>
  <c r="K122" i="2"/>
  <c r="F156" i="2"/>
  <c r="K156" i="2"/>
  <c r="F336" i="2"/>
  <c r="K336" i="2"/>
  <c r="E3" i="7"/>
  <c r="E4" i="7"/>
  <c r="E5" i="7"/>
  <c r="E6" i="7"/>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101" i="7"/>
  <c r="E102" i="7"/>
  <c r="E103" i="7"/>
  <c r="E104" i="7"/>
  <c r="E105" i="7"/>
  <c r="E106" i="7"/>
  <c r="E107" i="7"/>
  <c r="E108" i="7"/>
  <c r="E109" i="7"/>
  <c r="E110" i="7"/>
  <c r="E111" i="7"/>
  <c r="E112" i="7"/>
  <c r="E113" i="7"/>
  <c r="E114" i="7"/>
  <c r="E115" i="7"/>
  <c r="E116" i="7"/>
  <c r="E117" i="7"/>
  <c r="E118" i="7"/>
  <c r="E119" i="7"/>
  <c r="E120" i="7"/>
  <c r="E121" i="7"/>
  <c r="E122" i="7"/>
  <c r="E123" i="7"/>
  <c r="E124" i="7"/>
  <c r="E125" i="7"/>
  <c r="E126" i="7"/>
  <c r="E127" i="7"/>
  <c r="E128" i="7"/>
  <c r="E129" i="7"/>
  <c r="E130" i="7"/>
  <c r="E131" i="7"/>
  <c r="E132" i="7"/>
  <c r="E133" i="7"/>
  <c r="E134" i="7"/>
  <c r="E135" i="7"/>
  <c r="E136" i="7"/>
  <c r="E137" i="7"/>
  <c r="E138" i="7"/>
  <c r="E139" i="7"/>
  <c r="E140" i="7"/>
  <c r="E141" i="7"/>
  <c r="E142" i="7"/>
  <c r="E143" i="7"/>
  <c r="E144" i="7"/>
  <c r="E145" i="7"/>
  <c r="E146" i="7"/>
  <c r="E147" i="7"/>
  <c r="E148" i="7"/>
  <c r="E149" i="7"/>
  <c r="E150" i="7"/>
  <c r="E151" i="7"/>
  <c r="E152" i="7"/>
  <c r="E153" i="7"/>
  <c r="E154" i="7"/>
  <c r="E155" i="7"/>
  <c r="E156" i="7"/>
  <c r="E157" i="7"/>
  <c r="E158" i="7"/>
  <c r="E159" i="7"/>
  <c r="E160" i="7"/>
  <c r="E161" i="7"/>
  <c r="E162" i="7"/>
  <c r="E163" i="7"/>
  <c r="E164" i="7"/>
  <c r="E165" i="7"/>
  <c r="E166" i="7"/>
  <c r="E167" i="7"/>
  <c r="E168" i="7"/>
  <c r="E169" i="7"/>
  <c r="E170" i="7"/>
  <c r="E171" i="7"/>
  <c r="E172" i="7"/>
  <c r="E173" i="7"/>
  <c r="E174" i="7"/>
  <c r="E175" i="7"/>
  <c r="E176" i="7"/>
  <c r="E177" i="7"/>
  <c r="E178" i="7"/>
  <c r="E179" i="7"/>
  <c r="E180" i="7"/>
  <c r="E181" i="7"/>
  <c r="E182" i="7"/>
  <c r="E183" i="7"/>
  <c r="E184" i="7"/>
  <c r="E185" i="7"/>
  <c r="E186" i="7"/>
  <c r="E187" i="7"/>
  <c r="E188" i="7"/>
  <c r="E189" i="7"/>
  <c r="E190" i="7"/>
  <c r="E191" i="7"/>
  <c r="E192" i="7"/>
  <c r="E193" i="7"/>
  <c r="E194" i="7"/>
  <c r="E195" i="7"/>
  <c r="E196" i="7"/>
  <c r="E197" i="7"/>
  <c r="E198" i="7"/>
  <c r="E199" i="7"/>
  <c r="E200" i="7"/>
  <c r="E201" i="7"/>
  <c r="E202" i="7"/>
  <c r="E203" i="7"/>
  <c r="E204" i="7"/>
  <c r="E205" i="7"/>
  <c r="E206" i="7"/>
  <c r="E207" i="7"/>
  <c r="E208" i="7"/>
  <c r="E209" i="7"/>
  <c r="E210" i="7"/>
  <c r="E211" i="7"/>
  <c r="E212" i="7"/>
  <c r="E213" i="7"/>
  <c r="E214" i="7"/>
  <c r="E215" i="7"/>
  <c r="E216" i="7"/>
  <c r="E217" i="7"/>
  <c r="E218" i="7"/>
  <c r="E219" i="7"/>
  <c r="E220" i="7"/>
  <c r="E221" i="7"/>
  <c r="E222" i="7"/>
  <c r="E223" i="7"/>
  <c r="E224" i="7"/>
  <c r="E225" i="7"/>
  <c r="E226" i="7"/>
  <c r="E227" i="7"/>
  <c r="E228" i="7"/>
  <c r="E229" i="7"/>
  <c r="E230" i="7"/>
  <c r="E231" i="7"/>
  <c r="E232" i="7"/>
  <c r="E233" i="7"/>
  <c r="E234" i="7"/>
  <c r="E235" i="7"/>
  <c r="E236" i="7"/>
  <c r="E237" i="7"/>
  <c r="E238" i="7"/>
  <c r="E2" i="7"/>
  <c r="F352" i="2"/>
  <c r="G234" i="3" l="1"/>
  <c r="H233" i="3"/>
  <c r="K26" i="5"/>
  <c r="G235" i="3" l="1"/>
  <c r="H234" i="3"/>
  <c r="K30" i="5"/>
  <c r="K8" i="2"/>
  <c r="K9" i="2"/>
  <c r="K10" i="2"/>
  <c r="K11" i="2"/>
  <c r="K12" i="2"/>
  <c r="K13" i="2"/>
  <c r="K14" i="2"/>
  <c r="K15" i="2"/>
  <c r="K17" i="2"/>
  <c r="K18" i="2"/>
  <c r="K19" i="2"/>
  <c r="K20" i="2"/>
  <c r="K21" i="2"/>
  <c r="K22" i="2"/>
  <c r="K23" i="2"/>
  <c r="K24" i="2"/>
  <c r="K25" i="2"/>
  <c r="K26" i="2"/>
  <c r="K27" i="2"/>
  <c r="K28" i="2"/>
  <c r="K29" i="2"/>
  <c r="K30" i="2"/>
  <c r="K31" i="2"/>
  <c r="K32" i="2"/>
  <c r="K33" i="2"/>
  <c r="K34" i="2"/>
  <c r="K35" i="2"/>
  <c r="K36" i="2"/>
  <c r="K37" i="2"/>
  <c r="K38" i="2"/>
  <c r="K39" i="2"/>
  <c r="K40" i="2"/>
  <c r="K41" i="2"/>
  <c r="K42" i="2"/>
  <c r="K43" i="2"/>
  <c r="K44" i="2"/>
  <c r="K45" i="2"/>
  <c r="K47" i="2"/>
  <c r="K48" i="2"/>
  <c r="K49" i="2"/>
  <c r="K50" i="2"/>
  <c r="K51" i="2"/>
  <c r="K52" i="2"/>
  <c r="K53" i="2"/>
  <c r="K54" i="2"/>
  <c r="K55" i="2"/>
  <c r="K56" i="2"/>
  <c r="K58" i="2"/>
  <c r="K59" i="2"/>
  <c r="K60" i="2"/>
  <c r="K61" i="2"/>
  <c r="K62" i="2"/>
  <c r="K63" i="2"/>
  <c r="K64" i="2"/>
  <c r="K65" i="2"/>
  <c r="K66" i="2"/>
  <c r="K67" i="2"/>
  <c r="K68" i="2"/>
  <c r="K69" i="2"/>
  <c r="K70" i="2"/>
  <c r="K71" i="2"/>
  <c r="K72" i="2"/>
  <c r="K73" i="2"/>
  <c r="K74" i="2"/>
  <c r="K75" i="2"/>
  <c r="K76" i="2"/>
  <c r="K77" i="2"/>
  <c r="K78" i="2"/>
  <c r="K79" i="2"/>
  <c r="K80" i="2"/>
  <c r="K81" i="2"/>
  <c r="K82" i="2"/>
  <c r="K83" i="2"/>
  <c r="K84" i="2"/>
  <c r="K85" i="2"/>
  <c r="K87" i="2"/>
  <c r="K88" i="2"/>
  <c r="K89" i="2"/>
  <c r="K90" i="2"/>
  <c r="K91" i="2"/>
  <c r="K92" i="2"/>
  <c r="K93" i="2"/>
  <c r="K95" i="2"/>
  <c r="K96" i="2"/>
  <c r="K97" i="2"/>
  <c r="K98" i="2"/>
  <c r="K99" i="2"/>
  <c r="K100" i="2"/>
  <c r="K101" i="2"/>
  <c r="K102" i="2"/>
  <c r="K103" i="2"/>
  <c r="K104" i="2"/>
  <c r="K105" i="2"/>
  <c r="K106" i="2"/>
  <c r="K107" i="2"/>
  <c r="K108" i="2"/>
  <c r="K109" i="2"/>
  <c r="K110" i="2"/>
  <c r="K111" i="2"/>
  <c r="K112" i="2"/>
  <c r="K113" i="2"/>
  <c r="K114" i="2"/>
  <c r="K115" i="2"/>
  <c r="K116" i="2"/>
  <c r="K117" i="2"/>
  <c r="K118" i="2"/>
  <c r="K119" i="2"/>
  <c r="K121" i="2"/>
  <c r="K123" i="2"/>
  <c r="K127" i="2"/>
  <c r="L127" i="2" s="1"/>
  <c r="K128" i="2"/>
  <c r="K129" i="2"/>
  <c r="K130" i="2"/>
  <c r="K131" i="2"/>
  <c r="K132" i="2"/>
  <c r="K133" i="2"/>
  <c r="K134" i="2"/>
  <c r="K135" i="2"/>
  <c r="K136" i="2"/>
  <c r="K137" i="2"/>
  <c r="K138" i="2"/>
  <c r="K139" i="2"/>
  <c r="K140" i="2"/>
  <c r="K141" i="2"/>
  <c r="K142" i="2"/>
  <c r="K143" i="2"/>
  <c r="K144" i="2"/>
  <c r="K145" i="2"/>
  <c r="K146" i="2"/>
  <c r="K147" i="2"/>
  <c r="K148" i="2"/>
  <c r="K149" i="2"/>
  <c r="K150" i="2"/>
  <c r="K151" i="2"/>
  <c r="K152" i="2"/>
  <c r="K153" i="2"/>
  <c r="K154" i="2"/>
  <c r="K155" i="2"/>
  <c r="K157" i="2"/>
  <c r="K158" i="2"/>
  <c r="K159" i="2"/>
  <c r="K160" i="2"/>
  <c r="K161" i="2"/>
  <c r="K162" i="2"/>
  <c r="K163" i="2"/>
  <c r="K164" i="2"/>
  <c r="K165" i="2"/>
  <c r="K166" i="2"/>
  <c r="K167" i="2"/>
  <c r="K168" i="2"/>
  <c r="K169" i="2"/>
  <c r="K170" i="2"/>
  <c r="K171" i="2"/>
  <c r="K172" i="2"/>
  <c r="K173" i="2"/>
  <c r="K174" i="2"/>
  <c r="K175" i="2"/>
  <c r="K176" i="2"/>
  <c r="K177" i="2"/>
  <c r="K178" i="2"/>
  <c r="K179" i="2"/>
  <c r="K180" i="2"/>
  <c r="K181" i="2"/>
  <c r="K182" i="2"/>
  <c r="K183" i="2"/>
  <c r="K184" i="2"/>
  <c r="K185" i="2"/>
  <c r="K186" i="2"/>
  <c r="K187" i="2"/>
  <c r="K188" i="2"/>
  <c r="K189" i="2"/>
  <c r="K190" i="2"/>
  <c r="K191" i="2"/>
  <c r="K192" i="2"/>
  <c r="K193" i="2"/>
  <c r="K194" i="2"/>
  <c r="K195" i="2"/>
  <c r="K196" i="2"/>
  <c r="K197" i="2"/>
  <c r="K198" i="2"/>
  <c r="K199" i="2"/>
  <c r="K200" i="2"/>
  <c r="K201" i="2"/>
  <c r="K202" i="2"/>
  <c r="K203" i="2"/>
  <c r="K204" i="2"/>
  <c r="K205" i="2"/>
  <c r="K206" i="2"/>
  <c r="K207" i="2"/>
  <c r="K208" i="2"/>
  <c r="K209" i="2"/>
  <c r="K210" i="2"/>
  <c r="K211" i="2"/>
  <c r="K212" i="2"/>
  <c r="K213" i="2"/>
  <c r="K214" i="2"/>
  <c r="K215" i="2"/>
  <c r="K216" i="2"/>
  <c r="K217" i="2"/>
  <c r="K218" i="2"/>
  <c r="K219" i="2"/>
  <c r="K220" i="2"/>
  <c r="K221" i="2"/>
  <c r="K222" i="2"/>
  <c r="K223" i="2"/>
  <c r="K224" i="2"/>
  <c r="K225" i="2"/>
  <c r="K226" i="2"/>
  <c r="K227" i="2"/>
  <c r="K228" i="2"/>
  <c r="K229" i="2"/>
  <c r="K230" i="2"/>
  <c r="K231" i="2"/>
  <c r="K232" i="2"/>
  <c r="K233" i="2"/>
  <c r="K234" i="2"/>
  <c r="K235" i="2"/>
  <c r="K236" i="2"/>
  <c r="K237" i="2"/>
  <c r="K238" i="2"/>
  <c r="K239" i="2"/>
  <c r="K240" i="2"/>
  <c r="K241" i="2"/>
  <c r="K242" i="2"/>
  <c r="K243" i="2"/>
  <c r="K244" i="2"/>
  <c r="K245" i="2"/>
  <c r="K246" i="2"/>
  <c r="K247" i="2"/>
  <c r="K248" i="2"/>
  <c r="K249" i="2"/>
  <c r="K250" i="2"/>
  <c r="K251" i="2"/>
  <c r="K252" i="2"/>
  <c r="K253" i="2"/>
  <c r="K254" i="2"/>
  <c r="K255" i="2"/>
  <c r="K256" i="2"/>
  <c r="K257" i="2"/>
  <c r="K258" i="2"/>
  <c r="K259" i="2"/>
  <c r="K260" i="2"/>
  <c r="K261" i="2"/>
  <c r="K262" i="2"/>
  <c r="K263" i="2"/>
  <c r="K264" i="2"/>
  <c r="K265" i="2"/>
  <c r="K266" i="2"/>
  <c r="K267" i="2"/>
  <c r="K268" i="2"/>
  <c r="K269" i="2"/>
  <c r="K270" i="2"/>
  <c r="K271" i="2"/>
  <c r="K272" i="2"/>
  <c r="K273" i="2"/>
  <c r="K274" i="2"/>
  <c r="K275" i="2"/>
  <c r="K276" i="2"/>
  <c r="K277" i="2"/>
  <c r="K278" i="2"/>
  <c r="K279" i="2"/>
  <c r="K280" i="2"/>
  <c r="K281" i="2"/>
  <c r="K282" i="2"/>
  <c r="K283" i="2"/>
  <c r="K284" i="2"/>
  <c r="K285" i="2"/>
  <c r="K286" i="2"/>
  <c r="K287" i="2"/>
  <c r="K288" i="2"/>
  <c r="K289" i="2"/>
  <c r="K290" i="2"/>
  <c r="K291" i="2"/>
  <c r="K292" i="2"/>
  <c r="K293" i="2"/>
  <c r="K294" i="2"/>
  <c r="K295" i="2"/>
  <c r="K296" i="2"/>
  <c r="K297" i="2"/>
  <c r="K298" i="2"/>
  <c r="K299" i="2"/>
  <c r="K300" i="2"/>
  <c r="K301" i="2"/>
  <c r="K302" i="2"/>
  <c r="K303" i="2"/>
  <c r="K304" i="2"/>
  <c r="K305" i="2"/>
  <c r="K306" i="2"/>
  <c r="K307" i="2"/>
  <c r="K308" i="2"/>
  <c r="K309" i="2"/>
  <c r="K310" i="2"/>
  <c r="K311" i="2"/>
  <c r="K312" i="2"/>
  <c r="K313" i="2"/>
  <c r="K314" i="2"/>
  <c r="K316" i="2"/>
  <c r="K317" i="2"/>
  <c r="K318" i="2"/>
  <c r="K319" i="2"/>
  <c r="K320" i="2"/>
  <c r="K321" i="2"/>
  <c r="K322" i="2"/>
  <c r="K323" i="2"/>
  <c r="K324" i="2"/>
  <c r="K325" i="2"/>
  <c r="K326" i="2"/>
  <c r="K327" i="2"/>
  <c r="K328" i="2"/>
  <c r="K329" i="2"/>
  <c r="K330" i="2"/>
  <c r="K331" i="2"/>
  <c r="K332" i="2"/>
  <c r="K333" i="2"/>
  <c r="K334" i="2"/>
  <c r="K335" i="2"/>
  <c r="K337" i="2"/>
  <c r="K338" i="2"/>
  <c r="K339" i="2"/>
  <c r="K340" i="2"/>
  <c r="K341" i="2"/>
  <c r="K342" i="2"/>
  <c r="K343" i="2"/>
  <c r="K344" i="2"/>
  <c r="K345" i="2"/>
  <c r="K346" i="2"/>
  <c r="K347" i="2"/>
  <c r="K348" i="2"/>
  <c r="K349" i="2"/>
  <c r="K350" i="2"/>
  <c r="K351" i="2"/>
  <c r="K7" i="2"/>
  <c r="X2" i="6"/>
  <c r="Y1" i="6"/>
  <c r="X1" i="6"/>
  <c r="F127" i="2"/>
  <c r="G236" i="3" l="1"/>
  <c r="H235" i="3"/>
  <c r="D8" i="5"/>
  <c r="D7" i="5"/>
  <c r="D4" i="5"/>
  <c r="F120" i="2"/>
  <c r="D6" i="5"/>
  <c r="K126" i="2" s="1"/>
  <c r="D5" i="5"/>
  <c r="K125" i="2" s="1"/>
  <c r="D3" i="5"/>
  <c r="K22" i="5" s="1"/>
  <c r="X80" i="6"/>
  <c r="U90" i="6"/>
  <c r="U89" i="6"/>
  <c r="U88" i="6"/>
  <c r="P88" i="6"/>
  <c r="O88" i="6"/>
  <c r="N88" i="6"/>
  <c r="M88" i="6"/>
  <c r="L88" i="6"/>
  <c r="K88" i="6"/>
  <c r="J88" i="6"/>
  <c r="I88" i="6"/>
  <c r="G88" i="6"/>
  <c r="F88" i="6"/>
  <c r="E88" i="6"/>
  <c r="D88" i="6"/>
  <c r="C88" i="6"/>
  <c r="U86" i="6"/>
  <c r="P86" i="6"/>
  <c r="O86" i="6"/>
  <c r="L86" i="6"/>
  <c r="K86" i="6"/>
  <c r="G86" i="6"/>
  <c r="F86" i="6"/>
  <c r="E86" i="6"/>
  <c r="C86" i="6"/>
  <c r="U85" i="6"/>
  <c r="P85" i="6"/>
  <c r="O85" i="6"/>
  <c r="N85" i="6"/>
  <c r="M85" i="6"/>
  <c r="L85" i="6"/>
  <c r="K85" i="6"/>
  <c r="J85" i="6"/>
  <c r="I85" i="6"/>
  <c r="G85" i="6"/>
  <c r="F85" i="6"/>
  <c r="E85" i="6"/>
  <c r="D85" i="6"/>
  <c r="C85" i="6"/>
  <c r="U84" i="6"/>
  <c r="P84" i="6"/>
  <c r="O84" i="6"/>
  <c r="N84" i="6"/>
  <c r="M84" i="6"/>
  <c r="L84" i="6"/>
  <c r="K84" i="6"/>
  <c r="J84" i="6"/>
  <c r="G84" i="6"/>
  <c r="F84" i="6"/>
  <c r="E84" i="6"/>
  <c r="D84" i="6"/>
  <c r="C84" i="6"/>
  <c r="U82" i="6"/>
  <c r="Q77" i="6"/>
  <c r="P77" i="6"/>
  <c r="M77" i="6"/>
  <c r="I77" i="6"/>
  <c r="H77" i="6"/>
  <c r="E77" i="6"/>
  <c r="S75" i="6"/>
  <c r="S74" i="6"/>
  <c r="V73" i="6"/>
  <c r="S73" i="6"/>
  <c r="S71" i="6"/>
  <c r="V71" i="6" s="1"/>
  <c r="S70" i="6"/>
  <c r="V70" i="6" s="1"/>
  <c r="S69" i="6"/>
  <c r="V68" i="6"/>
  <c r="S68" i="6"/>
  <c r="S67" i="6"/>
  <c r="S65" i="6"/>
  <c r="V65" i="6" s="1"/>
  <c r="S64" i="6"/>
  <c r="S63" i="6"/>
  <c r="V63" i="6" s="1"/>
  <c r="V61" i="6"/>
  <c r="S61" i="6"/>
  <c r="R61" i="6"/>
  <c r="S60" i="6"/>
  <c r="V60" i="6" s="1"/>
  <c r="S59" i="6"/>
  <c r="S58" i="6"/>
  <c r="V58" i="6" s="1"/>
  <c r="V57" i="6"/>
  <c r="S57" i="6"/>
  <c r="S56" i="6"/>
  <c r="V56" i="6" s="1"/>
  <c r="V55" i="6"/>
  <c r="S55" i="6"/>
  <c r="R55" i="6"/>
  <c r="S54" i="6"/>
  <c r="V54" i="6" s="1"/>
  <c r="R53" i="6"/>
  <c r="R86" i="6" s="1"/>
  <c r="N53" i="6"/>
  <c r="N77" i="6" s="1"/>
  <c r="M53" i="6"/>
  <c r="M86" i="6" s="1"/>
  <c r="L53" i="6"/>
  <c r="K53" i="6"/>
  <c r="J53" i="6"/>
  <c r="J86" i="6" s="1"/>
  <c r="I53" i="6"/>
  <c r="G53" i="6"/>
  <c r="F53" i="6"/>
  <c r="D53" i="6"/>
  <c r="S53" i="6" s="1"/>
  <c r="V53" i="6" s="1"/>
  <c r="C53" i="6"/>
  <c r="S52" i="6"/>
  <c r="S85" i="6" s="1"/>
  <c r="V51" i="6"/>
  <c r="S51" i="6"/>
  <c r="I51" i="6"/>
  <c r="I86" i="6" s="1"/>
  <c r="C51" i="6"/>
  <c r="R49" i="6"/>
  <c r="R88" i="6" s="1"/>
  <c r="O49" i="6"/>
  <c r="S49" i="6" s="1"/>
  <c r="V47" i="6"/>
  <c r="S47" i="6"/>
  <c r="S46" i="6"/>
  <c r="V46" i="6" s="1"/>
  <c r="V45" i="6"/>
  <c r="S45" i="6"/>
  <c r="R44" i="6"/>
  <c r="S44" i="6" s="1"/>
  <c r="V44" i="6" s="1"/>
  <c r="R43" i="6"/>
  <c r="S43" i="6" s="1"/>
  <c r="V43" i="6" s="1"/>
  <c r="V41" i="6"/>
  <c r="S41" i="6"/>
  <c r="L41" i="6"/>
  <c r="S40" i="6"/>
  <c r="V40" i="6" s="1"/>
  <c r="V39" i="6"/>
  <c r="S39" i="6"/>
  <c r="S38" i="6"/>
  <c r="V38" i="6" s="1"/>
  <c r="R37" i="6"/>
  <c r="R77" i="6" s="1"/>
  <c r="O37" i="6"/>
  <c r="O77" i="6" s="1"/>
  <c r="R35" i="6"/>
  <c r="S35" i="6" s="1"/>
  <c r="V35" i="6" s="1"/>
  <c r="V34" i="6"/>
  <c r="S34" i="6"/>
  <c r="G33" i="6"/>
  <c r="S33" i="6" s="1"/>
  <c r="V33" i="6" s="1"/>
  <c r="V32" i="6"/>
  <c r="S32" i="6"/>
  <c r="S30" i="6"/>
  <c r="V30" i="6" s="1"/>
  <c r="V29" i="6"/>
  <c r="S29" i="6"/>
  <c r="S28" i="6"/>
  <c r="V28" i="6" s="1"/>
  <c r="V27" i="6"/>
  <c r="S27" i="6"/>
  <c r="N26" i="6"/>
  <c r="M26" i="6"/>
  <c r="L26" i="6"/>
  <c r="L77" i="6" s="1"/>
  <c r="K26" i="6"/>
  <c r="K77" i="6" s="1"/>
  <c r="J26" i="6"/>
  <c r="I26" i="6"/>
  <c r="G26" i="6"/>
  <c r="G77" i="6" s="1"/>
  <c r="F26" i="6"/>
  <c r="F77" i="6" s="1"/>
  <c r="E26" i="6"/>
  <c r="D26" i="6"/>
  <c r="D77" i="6" s="1"/>
  <c r="C26" i="6"/>
  <c r="C77" i="6" s="1"/>
  <c r="V22" i="6"/>
  <c r="S22" i="6"/>
  <c r="D22" i="6"/>
  <c r="U20" i="6"/>
  <c r="U19" i="6"/>
  <c r="P19" i="6"/>
  <c r="N19" i="6"/>
  <c r="M19" i="6"/>
  <c r="L19" i="6"/>
  <c r="K19" i="6"/>
  <c r="J19" i="6"/>
  <c r="I19" i="6"/>
  <c r="G19" i="6"/>
  <c r="F19" i="6"/>
  <c r="E19" i="6"/>
  <c r="D19" i="6"/>
  <c r="P17" i="6"/>
  <c r="P80" i="6" s="1"/>
  <c r="H17" i="6"/>
  <c r="H80" i="6" s="1"/>
  <c r="G17" i="6"/>
  <c r="G79" i="6" s="1"/>
  <c r="G89" i="6" s="1"/>
  <c r="Q15" i="6"/>
  <c r="Q17" i="6" s="1"/>
  <c r="P15" i="6"/>
  <c r="M15" i="6"/>
  <c r="M17" i="6" s="1"/>
  <c r="I15" i="6"/>
  <c r="I17" i="6" s="1"/>
  <c r="H15" i="6"/>
  <c r="G15" i="6"/>
  <c r="S13" i="6"/>
  <c r="V13" i="6" s="1"/>
  <c r="V12" i="6"/>
  <c r="S12" i="6"/>
  <c r="S11" i="6"/>
  <c r="V11" i="6" s="1"/>
  <c r="R11" i="6"/>
  <c r="N10" i="6"/>
  <c r="N15" i="6" s="1"/>
  <c r="N17" i="6" s="1"/>
  <c r="M10" i="6"/>
  <c r="L10" i="6"/>
  <c r="L15" i="6" s="1"/>
  <c r="L17" i="6" s="1"/>
  <c r="K10" i="6"/>
  <c r="K15" i="6" s="1"/>
  <c r="K17" i="6" s="1"/>
  <c r="J10" i="6"/>
  <c r="J15" i="6" s="1"/>
  <c r="J17" i="6" s="1"/>
  <c r="I10" i="6"/>
  <c r="G10" i="6"/>
  <c r="F10" i="6"/>
  <c r="F15" i="6" s="1"/>
  <c r="F17" i="6" s="1"/>
  <c r="E10" i="6"/>
  <c r="E15" i="6" s="1"/>
  <c r="E17" i="6" s="1"/>
  <c r="D10" i="6"/>
  <c r="D15" i="6" s="1"/>
  <c r="D17" i="6" s="1"/>
  <c r="C10" i="6"/>
  <c r="S9" i="6"/>
  <c r="V9" i="6" s="1"/>
  <c r="R8" i="6"/>
  <c r="R19" i="6" s="1"/>
  <c r="O8" i="6"/>
  <c r="O15" i="6" s="1"/>
  <c r="O17" i="6" s="1"/>
  <c r="C8" i="6"/>
  <c r="C19" i="6" s="1"/>
  <c r="S4" i="6"/>
  <c r="V4" i="6" s="1"/>
  <c r="V3" i="6"/>
  <c r="S3" i="6"/>
  <c r="R3" i="6"/>
  <c r="R85" i="6" s="1"/>
  <c r="F350" i="2"/>
  <c r="F126" i="2"/>
  <c r="G237" i="3" l="1"/>
  <c r="H236" i="3"/>
  <c r="D13" i="5"/>
  <c r="K120" i="2" s="1"/>
  <c r="K23" i="5"/>
  <c r="K124" i="2"/>
  <c r="K80" i="6"/>
  <c r="K20" i="6"/>
  <c r="K79" i="6"/>
  <c r="K89" i="6" s="1"/>
  <c r="L80" i="6"/>
  <c r="L20" i="6"/>
  <c r="L79" i="6"/>
  <c r="L89" i="6" s="1"/>
  <c r="P90" i="6"/>
  <c r="P82" i="6"/>
  <c r="S88" i="6"/>
  <c r="V49" i="6"/>
  <c r="E79" i="6"/>
  <c r="E89" i="6" s="1"/>
  <c r="E80" i="6"/>
  <c r="E20" i="6"/>
  <c r="N79" i="6"/>
  <c r="N89" i="6" s="1"/>
  <c r="N20" i="6"/>
  <c r="N80" i="6"/>
  <c r="I80" i="6"/>
  <c r="I20" i="6"/>
  <c r="I79" i="6"/>
  <c r="I89" i="6" s="1"/>
  <c r="F79" i="6"/>
  <c r="F89" i="6" s="1"/>
  <c r="F80" i="6"/>
  <c r="F20" i="6"/>
  <c r="M20" i="6"/>
  <c r="M80" i="6"/>
  <c r="M79" i="6"/>
  <c r="M89" i="6" s="1"/>
  <c r="S86" i="6"/>
  <c r="D80" i="6"/>
  <c r="D20" i="6"/>
  <c r="D79" i="6"/>
  <c r="D89" i="6" s="1"/>
  <c r="O79" i="6"/>
  <c r="O89" i="6" s="1"/>
  <c r="O80" i="6"/>
  <c r="O20" i="6"/>
  <c r="Q80" i="6"/>
  <c r="Q79" i="6"/>
  <c r="J20" i="6"/>
  <c r="S10" i="6"/>
  <c r="V10" i="6" s="1"/>
  <c r="R15" i="6"/>
  <c r="O19" i="6"/>
  <c r="J77" i="6"/>
  <c r="J80" i="6" s="1"/>
  <c r="H79" i="6"/>
  <c r="P79" i="6"/>
  <c r="P89" i="6" s="1"/>
  <c r="S8" i="6"/>
  <c r="C15" i="6"/>
  <c r="C17" i="6" s="1"/>
  <c r="G20" i="6"/>
  <c r="P20" i="6"/>
  <c r="S37" i="6"/>
  <c r="V37" i="6" s="1"/>
  <c r="V52" i="6"/>
  <c r="G80" i="6"/>
  <c r="D86" i="6"/>
  <c r="R17" i="6"/>
  <c r="N86" i="6"/>
  <c r="S26" i="6"/>
  <c r="I84" i="6"/>
  <c r="R84" i="6"/>
  <c r="S84" i="6"/>
  <c r="D2" i="5"/>
  <c r="G238" i="3" l="1"/>
  <c r="H237" i="3"/>
  <c r="K8" i="5"/>
  <c r="K9" i="5" s="1"/>
  <c r="K57" i="2"/>
  <c r="D14" i="5"/>
  <c r="K86" i="2" s="1"/>
  <c r="J90" i="6"/>
  <c r="J82" i="6"/>
  <c r="M90" i="6"/>
  <c r="M82" i="6"/>
  <c r="N90" i="6"/>
  <c r="N82" i="6"/>
  <c r="O90" i="6"/>
  <c r="O82" i="6"/>
  <c r="K90" i="6"/>
  <c r="K82" i="6"/>
  <c r="V26" i="6"/>
  <c r="S77" i="6"/>
  <c r="V77" i="6" s="1"/>
  <c r="I90" i="6"/>
  <c r="I82" i="6"/>
  <c r="C80" i="6"/>
  <c r="C20" i="6"/>
  <c r="C79" i="6"/>
  <c r="C89" i="6" s="1"/>
  <c r="J79" i="6"/>
  <c r="J89" i="6" s="1"/>
  <c r="F90" i="6"/>
  <c r="F82" i="6"/>
  <c r="G5" i="6"/>
  <c r="N5" i="6"/>
  <c r="F5" i="6"/>
  <c r="M5" i="6"/>
  <c r="E5" i="6"/>
  <c r="S19" i="6"/>
  <c r="L5" i="6"/>
  <c r="D5" i="6"/>
  <c r="V8" i="6"/>
  <c r="K5" i="6"/>
  <c r="C5" i="6"/>
  <c r="H5" i="6"/>
  <c r="S15" i="6"/>
  <c r="J5" i="6"/>
  <c r="I5" i="6"/>
  <c r="D90" i="6"/>
  <c r="D82" i="6"/>
  <c r="R80" i="6"/>
  <c r="R79" i="6"/>
  <c r="R89" i="6" s="1"/>
  <c r="R20" i="6"/>
  <c r="E90" i="6"/>
  <c r="E82" i="6"/>
  <c r="L90" i="6"/>
  <c r="L82" i="6"/>
  <c r="G90" i="6"/>
  <c r="G82" i="6"/>
  <c r="G239" i="3" l="1"/>
  <c r="H238" i="3"/>
  <c r="K355" i="2"/>
  <c r="C90" i="6"/>
  <c r="C82" i="6"/>
  <c r="R90" i="6"/>
  <c r="R82" i="6"/>
  <c r="S17" i="6"/>
  <c r="V15" i="6"/>
  <c r="G240" i="3" l="1"/>
  <c r="H239" i="3"/>
  <c r="S80" i="6"/>
  <c r="V17" i="6"/>
  <c r="S79" i="6"/>
  <c r="S20" i="6"/>
  <c r="G241" i="3" l="1"/>
  <c r="H240" i="3"/>
  <c r="S89" i="6"/>
  <c r="V79" i="6"/>
  <c r="S90" i="6"/>
  <c r="S82" i="6"/>
  <c r="V80" i="6"/>
  <c r="G242" i="3" l="1"/>
  <c r="H242" i="3" s="1"/>
  <c r="H241" i="3"/>
  <c r="F8" i="2"/>
  <c r="F9" i="2"/>
  <c r="F10" i="2"/>
  <c r="F11" i="2"/>
  <c r="F12" i="2"/>
  <c r="F13" i="2"/>
  <c r="F14" i="2"/>
  <c r="F15"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1" i="2"/>
  <c r="F123" i="2"/>
  <c r="F124" i="2"/>
  <c r="F125" i="2"/>
  <c r="F128" i="2"/>
  <c r="F129" i="2"/>
  <c r="F130" i="2"/>
  <c r="F131" i="2"/>
  <c r="F132" i="2"/>
  <c r="F133" i="2"/>
  <c r="F134" i="2"/>
  <c r="F135" i="2"/>
  <c r="F136" i="2"/>
  <c r="F137" i="2"/>
  <c r="F138" i="2"/>
  <c r="F139" i="2"/>
  <c r="F140" i="2"/>
  <c r="F141" i="2"/>
  <c r="F142" i="2"/>
  <c r="F143" i="2"/>
  <c r="F144" i="2"/>
  <c r="F145" i="2"/>
  <c r="F146" i="2"/>
  <c r="F147" i="2"/>
  <c r="F148" i="2"/>
  <c r="F149" i="2"/>
  <c r="F150" i="2"/>
  <c r="F151" i="2"/>
  <c r="F152" i="2"/>
  <c r="F153" i="2"/>
  <c r="F154" i="2"/>
  <c r="F155" i="2"/>
  <c r="F157" i="2"/>
  <c r="F158" i="2"/>
  <c r="F159" i="2"/>
  <c r="F160" i="2"/>
  <c r="F161" i="2"/>
  <c r="F162" i="2"/>
  <c r="F163" i="2"/>
  <c r="F164" i="2"/>
  <c r="F165" i="2"/>
  <c r="F166" i="2"/>
  <c r="F167" i="2"/>
  <c r="F168" i="2"/>
  <c r="F169" i="2"/>
  <c r="F170" i="2"/>
  <c r="F171"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F206" i="2"/>
  <c r="F207" i="2"/>
  <c r="F208" i="2"/>
  <c r="F209" i="2"/>
  <c r="F210" i="2"/>
  <c r="F211" i="2"/>
  <c r="F212" i="2"/>
  <c r="F213" i="2"/>
  <c r="F214" i="2"/>
  <c r="F215" i="2"/>
  <c r="F216" i="2"/>
  <c r="F217" i="2"/>
  <c r="F218" i="2"/>
  <c r="F219" i="2"/>
  <c r="F220" i="2"/>
  <c r="F221" i="2"/>
  <c r="F222" i="2"/>
  <c r="F223" i="2"/>
  <c r="F224" i="2"/>
  <c r="F225" i="2"/>
  <c r="F226" i="2"/>
  <c r="F227" i="2"/>
  <c r="F228" i="2"/>
  <c r="F229" i="2"/>
  <c r="F230" i="2"/>
  <c r="F231" i="2"/>
  <c r="F232" i="2"/>
  <c r="F233" i="2"/>
  <c r="F234" i="2"/>
  <c r="F235" i="2"/>
  <c r="F236" i="2"/>
  <c r="F237" i="2"/>
  <c r="F238" i="2"/>
  <c r="F239" i="2"/>
  <c r="F240" i="2"/>
  <c r="F241" i="2"/>
  <c r="F242" i="2"/>
  <c r="F243" i="2"/>
  <c r="F244" i="2"/>
  <c r="F245" i="2"/>
  <c r="F246" i="2"/>
  <c r="F247" i="2"/>
  <c r="F248" i="2"/>
  <c r="F249" i="2"/>
  <c r="F250" i="2"/>
  <c r="F251" i="2"/>
  <c r="F252" i="2"/>
  <c r="F253" i="2"/>
  <c r="F254" i="2"/>
  <c r="F255" i="2"/>
  <c r="F256" i="2"/>
  <c r="F257" i="2"/>
  <c r="F258" i="2"/>
  <c r="F259" i="2"/>
  <c r="F260" i="2"/>
  <c r="F261" i="2"/>
  <c r="F262" i="2"/>
  <c r="F263" i="2"/>
  <c r="F264" i="2"/>
  <c r="F265" i="2"/>
  <c r="F266" i="2"/>
  <c r="F267" i="2"/>
  <c r="F268" i="2"/>
  <c r="F269" i="2"/>
  <c r="F270" i="2"/>
  <c r="F271" i="2"/>
  <c r="F272" i="2"/>
  <c r="F273" i="2"/>
  <c r="F274" i="2"/>
  <c r="F275" i="2"/>
  <c r="F276" i="2"/>
  <c r="F277" i="2"/>
  <c r="F278" i="2"/>
  <c r="F279" i="2"/>
  <c r="F280" i="2"/>
  <c r="F281" i="2"/>
  <c r="F282" i="2"/>
  <c r="F283" i="2"/>
  <c r="F284" i="2"/>
  <c r="F285" i="2"/>
  <c r="F286" i="2"/>
  <c r="F287" i="2"/>
  <c r="F288" i="2"/>
  <c r="F289" i="2"/>
  <c r="F290" i="2"/>
  <c r="F291" i="2"/>
  <c r="F292" i="2"/>
  <c r="F293" i="2"/>
  <c r="F294" i="2"/>
  <c r="F295" i="2"/>
  <c r="F296" i="2"/>
  <c r="F297" i="2"/>
  <c r="F298" i="2"/>
  <c r="F299" i="2"/>
  <c r="F300" i="2"/>
  <c r="F301" i="2"/>
  <c r="F302" i="2"/>
  <c r="F303" i="2"/>
  <c r="F304" i="2"/>
  <c r="F305" i="2"/>
  <c r="F306" i="2"/>
  <c r="F307" i="2"/>
  <c r="F308" i="2"/>
  <c r="F309" i="2"/>
  <c r="F310" i="2"/>
  <c r="F311" i="2"/>
  <c r="F312" i="2"/>
  <c r="F313" i="2"/>
  <c r="F314" i="2"/>
  <c r="F316" i="2"/>
  <c r="F317" i="2"/>
  <c r="F318" i="2"/>
  <c r="F319" i="2"/>
  <c r="F320" i="2"/>
  <c r="F321" i="2"/>
  <c r="F322" i="2"/>
  <c r="F323" i="2"/>
  <c r="F324" i="2"/>
  <c r="F325" i="2"/>
  <c r="F326" i="2"/>
  <c r="F327" i="2"/>
  <c r="F328" i="2"/>
  <c r="F329" i="2"/>
  <c r="F330" i="2"/>
  <c r="F331" i="2"/>
  <c r="F332" i="2"/>
  <c r="F333" i="2"/>
  <c r="F334" i="2"/>
  <c r="F335" i="2"/>
  <c r="F337" i="2"/>
  <c r="F338" i="2"/>
  <c r="F339" i="2"/>
  <c r="F340" i="2"/>
  <c r="F341" i="2"/>
  <c r="F342" i="2"/>
  <c r="F343" i="2"/>
  <c r="F344" i="2"/>
  <c r="F345" i="2"/>
  <c r="F346" i="2"/>
  <c r="F347" i="2"/>
  <c r="F348" i="2"/>
  <c r="F349" i="2"/>
  <c r="F351" i="2"/>
  <c r="C128" i="17" l="1"/>
  <c r="K38" i="5"/>
  <c r="F7" i="2"/>
  <c r="I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I161" i="1"/>
  <c r="I162" i="1"/>
  <c r="I163" i="1"/>
  <c r="I164" i="1"/>
  <c r="I165" i="1"/>
  <c r="I166" i="1"/>
  <c r="I167" i="1"/>
  <c r="I168" i="1"/>
  <c r="I169" i="1"/>
  <c r="I170" i="1"/>
  <c r="I171" i="1"/>
  <c r="I172" i="1"/>
  <c r="I173" i="1"/>
  <c r="I174" i="1"/>
  <c r="I175" i="1"/>
  <c r="I176" i="1"/>
  <c r="I177" i="1"/>
  <c r="I178" i="1"/>
  <c r="I179" i="1"/>
  <c r="I180" i="1"/>
  <c r="I181" i="1"/>
  <c r="I182" i="1"/>
  <c r="I183" i="1"/>
  <c r="I184" i="1"/>
  <c r="I185" i="1"/>
  <c r="I186" i="1"/>
  <c r="I187" i="1"/>
  <c r="I188" i="1"/>
  <c r="I189" i="1"/>
  <c r="I190" i="1"/>
  <c r="I191" i="1"/>
  <c r="I192" i="1"/>
  <c r="I193" i="1"/>
  <c r="I194" i="1"/>
  <c r="I195" i="1"/>
  <c r="I196" i="1"/>
  <c r="I197" i="1"/>
  <c r="I198" i="1"/>
  <c r="I199" i="1"/>
  <c r="I200" i="1"/>
  <c r="I201" i="1"/>
  <c r="I202" i="1"/>
  <c r="I203" i="1"/>
  <c r="I204" i="1"/>
  <c r="I205" i="1"/>
  <c r="I206" i="1"/>
  <c r="I207" i="1"/>
  <c r="I208" i="1"/>
  <c r="I209" i="1"/>
  <c r="I210" i="1"/>
  <c r="I211" i="1"/>
  <c r="I213" i="1"/>
  <c r="I214" i="1"/>
  <c r="I215" i="1"/>
  <c r="I216" i="1"/>
  <c r="I217" i="1"/>
  <c r="I218" i="1"/>
  <c r="I219" i="1"/>
  <c r="I220" i="1"/>
  <c r="I221" i="1"/>
  <c r="I222" i="1"/>
  <c r="I223" i="1"/>
  <c r="I224" i="1"/>
  <c r="I225" i="1"/>
  <c r="I226" i="1"/>
  <c r="I227" i="1"/>
  <c r="I228" i="1"/>
  <c r="I229" i="1"/>
  <c r="I230" i="1"/>
  <c r="I231" i="1"/>
  <c r="I232" i="1"/>
  <c r="I233" i="1"/>
  <c r="I234" i="1"/>
  <c r="I235" i="1"/>
  <c r="I236" i="1"/>
  <c r="I237" i="1"/>
  <c r="I238" i="1"/>
  <c r="I239" i="1"/>
  <c r="I240" i="1"/>
  <c r="I241" i="1"/>
  <c r="I242" i="1"/>
  <c r="I243" i="1"/>
  <c r="I244" i="1"/>
  <c r="I245" i="1"/>
  <c r="I246" i="1"/>
  <c r="I247" i="1"/>
  <c r="I248" i="1"/>
  <c r="I249" i="1"/>
  <c r="I250" i="1"/>
  <c r="I251" i="1"/>
  <c r="I252" i="1"/>
  <c r="I253" i="1"/>
  <c r="I254" i="1"/>
  <c r="I255" i="1"/>
  <c r="I256" i="1"/>
  <c r="I257" i="1"/>
  <c r="I258" i="1"/>
  <c r="I259" i="1"/>
  <c r="I260" i="1"/>
  <c r="I261" i="1"/>
  <c r="I262" i="1"/>
  <c r="I263" i="1"/>
  <c r="I264" i="1"/>
  <c r="I265" i="1"/>
  <c r="I266" i="1"/>
  <c r="I267" i="1"/>
  <c r="I269" i="1"/>
  <c r="I270" i="1"/>
  <c r="I271" i="1"/>
  <c r="I272" i="1"/>
  <c r="I273" i="1"/>
  <c r="I274" i="1"/>
  <c r="I275" i="1"/>
  <c r="I276" i="1"/>
  <c r="I277" i="1"/>
  <c r="I278" i="1"/>
  <c r="I279" i="1"/>
  <c r="I280" i="1"/>
  <c r="I281" i="1"/>
  <c r="I282" i="1"/>
  <c r="I283" i="1"/>
  <c r="I284" i="1"/>
  <c r="I285" i="1"/>
  <c r="I286" i="1"/>
  <c r="I287" i="1"/>
  <c r="I288" i="1"/>
  <c r="I289" i="1"/>
  <c r="I290" i="1"/>
  <c r="I291" i="1"/>
  <c r="I292" i="1"/>
  <c r="I293" i="1"/>
  <c r="I294" i="1"/>
  <c r="I295" i="1"/>
  <c r="I296" i="1"/>
  <c r="I297" i="1"/>
  <c r="I298" i="1"/>
  <c r="I299" i="1"/>
  <c r="I300" i="1"/>
  <c r="I301" i="1"/>
  <c r="I302" i="1"/>
  <c r="I303" i="1"/>
  <c r="I304" i="1"/>
  <c r="I305" i="1"/>
  <c r="I306" i="1"/>
  <c r="I307" i="1"/>
  <c r="I308" i="1"/>
  <c r="I309" i="1"/>
  <c r="I310" i="1"/>
  <c r="I311" i="1"/>
  <c r="I312" i="1"/>
  <c r="I313" i="1"/>
  <c r="I314" i="1"/>
  <c r="I315" i="1"/>
  <c r="I316" i="1"/>
  <c r="I317" i="1"/>
  <c r="I318" i="1"/>
  <c r="I319" i="1"/>
  <c r="I320" i="1"/>
  <c r="I321" i="1"/>
  <c r="I322" i="1"/>
  <c r="I323" i="1"/>
  <c r="I324" i="1"/>
  <c r="I325" i="1"/>
  <c r="I326" i="1"/>
  <c r="I327" i="1"/>
  <c r="I328" i="1"/>
  <c r="I329" i="1"/>
  <c r="I330" i="1"/>
  <c r="I331" i="1"/>
  <c r="I332" i="1"/>
  <c r="I333" i="1"/>
  <c r="I334" i="1"/>
  <c r="I335" i="1"/>
  <c r="I336" i="1"/>
  <c r="I337" i="1"/>
  <c r="I338" i="1"/>
  <c r="I339" i="1"/>
  <c r="I340" i="1"/>
  <c r="I341" i="1"/>
  <c r="I342" i="1"/>
  <c r="I343" i="1"/>
  <c r="I344" i="1"/>
  <c r="I345" i="1"/>
  <c r="I346" i="1"/>
  <c r="I347" i="1"/>
  <c r="I348" i="1"/>
  <c r="I349" i="1"/>
  <c r="I350" i="1"/>
  <c r="I351" i="1"/>
  <c r="I352" i="1"/>
  <c r="I353" i="1"/>
  <c r="I354" i="1"/>
  <c r="I355" i="1"/>
  <c r="I356" i="1"/>
  <c r="I357" i="1"/>
  <c r="I358" i="1"/>
  <c r="I359" i="1"/>
  <c r="I360" i="1"/>
  <c r="I361" i="1"/>
  <c r="I362" i="1"/>
  <c r="I363" i="1"/>
  <c r="I364" i="1"/>
  <c r="I365" i="1"/>
  <c r="I366" i="1"/>
  <c r="I367" i="1"/>
  <c r="I368" i="1"/>
  <c r="I369" i="1"/>
  <c r="I370" i="1"/>
  <c r="I371" i="1"/>
  <c r="I372" i="1"/>
  <c r="I373" i="1"/>
  <c r="I374" i="1"/>
  <c r="I375" i="1"/>
  <c r="I376" i="1"/>
  <c r="I377" i="1"/>
  <c r="I378" i="1"/>
  <c r="I379" i="1"/>
  <c r="I380" i="1"/>
  <c r="I381" i="1"/>
  <c r="I382" i="1"/>
  <c r="I383" i="1"/>
  <c r="I384" i="1"/>
  <c r="I385" i="1"/>
  <c r="I386" i="1"/>
  <c r="I387" i="1"/>
  <c r="I388" i="1"/>
  <c r="I389" i="1"/>
  <c r="I390" i="1"/>
  <c r="I391" i="1"/>
  <c r="I392" i="1"/>
  <c r="I393" i="1"/>
  <c r="I394" i="1"/>
  <c r="I395" i="1"/>
  <c r="I396" i="1"/>
  <c r="I397" i="1"/>
  <c r="I398" i="1"/>
  <c r="I399" i="1"/>
  <c r="I400" i="1"/>
  <c r="I401" i="1"/>
  <c r="I402" i="1"/>
  <c r="I403" i="1"/>
  <c r="I404" i="1"/>
  <c r="I405" i="1"/>
  <c r="I406" i="1"/>
  <c r="I407" i="1"/>
  <c r="I408" i="1"/>
  <c r="I409" i="1"/>
  <c r="I410" i="1"/>
  <c r="I411" i="1"/>
  <c r="I412" i="1"/>
  <c r="I413" i="1"/>
  <c r="I414" i="1"/>
  <c r="I415" i="1"/>
  <c r="I416" i="1"/>
  <c r="I417" i="1"/>
  <c r="I418" i="1"/>
  <c r="I419" i="1"/>
  <c r="I420" i="1"/>
  <c r="I421" i="1"/>
  <c r="I422" i="1"/>
  <c r="I423" i="1"/>
  <c r="I424" i="1"/>
  <c r="I425" i="1"/>
  <c r="I426" i="1"/>
  <c r="I427" i="1"/>
  <c r="I428" i="1"/>
  <c r="I429" i="1"/>
  <c r="I430" i="1"/>
  <c r="I431" i="1"/>
  <c r="I432" i="1"/>
  <c r="I433" i="1"/>
  <c r="I434" i="1"/>
  <c r="I435" i="1"/>
  <c r="I436" i="1"/>
  <c r="I437" i="1"/>
  <c r="I438" i="1"/>
  <c r="I439" i="1"/>
  <c r="I440" i="1"/>
  <c r="I441" i="1"/>
  <c r="I442" i="1"/>
  <c r="I443" i="1"/>
  <c r="I444" i="1"/>
  <c r="I445" i="1"/>
  <c r="I446" i="1"/>
  <c r="I447" i="1"/>
  <c r="I448" i="1"/>
  <c r="I449" i="1"/>
  <c r="I450" i="1"/>
  <c r="I451" i="1"/>
  <c r="I452" i="1"/>
  <c r="I453" i="1"/>
  <c r="I454" i="1"/>
  <c r="I455" i="1"/>
  <c r="I456" i="1"/>
  <c r="I457" i="1"/>
  <c r="I458" i="1"/>
  <c r="I459" i="1"/>
  <c r="I460" i="1"/>
  <c r="I461" i="1"/>
  <c r="I462" i="1"/>
  <c r="I463" i="1"/>
  <c r="I464" i="1"/>
  <c r="I465" i="1"/>
  <c r="I466" i="1"/>
  <c r="I467" i="1"/>
  <c r="I468" i="1"/>
  <c r="I469" i="1"/>
  <c r="I470" i="1"/>
  <c r="I471" i="1"/>
  <c r="I472" i="1"/>
  <c r="I473" i="1"/>
  <c r="I474" i="1"/>
  <c r="I475" i="1"/>
  <c r="I476" i="1"/>
  <c r="I477" i="1"/>
  <c r="I478" i="1"/>
  <c r="I479" i="1"/>
  <c r="I480" i="1"/>
  <c r="I481" i="1"/>
  <c r="I482" i="1"/>
  <c r="I483" i="1"/>
  <c r="I484" i="1"/>
  <c r="I485" i="1"/>
  <c r="I486" i="1"/>
  <c r="I487" i="1"/>
  <c r="I488" i="1"/>
  <c r="I489" i="1"/>
  <c r="I490" i="1"/>
  <c r="I491" i="1"/>
  <c r="I492" i="1"/>
  <c r="I493" i="1"/>
  <c r="I494" i="1"/>
  <c r="I495" i="1"/>
  <c r="I496" i="1"/>
  <c r="I497" i="1"/>
  <c r="I498" i="1"/>
  <c r="I499" i="1"/>
  <c r="I500" i="1"/>
  <c r="I501" i="1"/>
  <c r="I502" i="1"/>
  <c r="I503" i="1"/>
  <c r="I504" i="1"/>
  <c r="I505" i="1"/>
  <c r="I506" i="1"/>
  <c r="I507" i="1"/>
  <c r="I508" i="1"/>
  <c r="I509" i="1"/>
  <c r="I510" i="1"/>
  <c r="I511" i="1"/>
  <c r="I512" i="1"/>
  <c r="I513" i="1"/>
  <c r="I514" i="1"/>
  <c r="I515" i="1"/>
  <c r="I516" i="1"/>
  <c r="I517" i="1"/>
  <c r="I518" i="1"/>
  <c r="I519" i="1"/>
  <c r="I520" i="1"/>
  <c r="I521" i="1"/>
  <c r="I522" i="1"/>
  <c r="I523" i="1"/>
  <c r="I524" i="1"/>
  <c r="I525" i="1"/>
  <c r="I526" i="1"/>
  <c r="I527" i="1"/>
  <c r="I528" i="1"/>
  <c r="I529" i="1"/>
  <c r="I530" i="1"/>
  <c r="I531" i="1"/>
  <c r="I532" i="1"/>
  <c r="I533" i="1"/>
  <c r="I534" i="1"/>
  <c r="I535" i="1"/>
  <c r="I536" i="1"/>
  <c r="I537" i="1"/>
  <c r="I538" i="1"/>
  <c r="I539" i="1"/>
  <c r="I540" i="1"/>
  <c r="I541" i="1"/>
  <c r="I542" i="1"/>
  <c r="I543" i="1"/>
  <c r="I544" i="1"/>
  <c r="I545" i="1"/>
  <c r="I546" i="1"/>
  <c r="I5" i="1"/>
  <c r="H352" i="2" l="1"/>
  <c r="J352" i="2" s="1"/>
  <c r="L352" i="2" s="1"/>
  <c r="D24" i="9" s="1"/>
  <c r="H315" i="2"/>
  <c r="J315" i="2" s="1"/>
  <c r="L315" i="2" s="1"/>
  <c r="H125" i="2"/>
  <c r="J125" i="2" s="1"/>
  <c r="L125" i="2" s="1"/>
  <c r="D124" i="12" s="1"/>
  <c r="DS124" i="12" s="1"/>
  <c r="DS128" i="12" s="1"/>
  <c r="H124" i="2"/>
  <c r="H336" i="2"/>
  <c r="J336" i="2" s="1"/>
  <c r="L336" i="2" s="1"/>
  <c r="H16" i="2"/>
  <c r="J16" i="2" s="1"/>
  <c r="L16" i="2" s="1"/>
  <c r="D15" i="12" s="1"/>
  <c r="N15" i="12" s="1"/>
  <c r="N128" i="12" s="1"/>
  <c r="H122" i="2"/>
  <c r="J122" i="2" s="1"/>
  <c r="L122" i="2" s="1"/>
  <c r="H46" i="2"/>
  <c r="J46" i="2" s="1"/>
  <c r="L46" i="2" s="1"/>
  <c r="D45" i="12" s="1"/>
  <c r="AR45" i="12" s="1"/>
  <c r="AR128" i="12" s="1"/>
  <c r="H156" i="2"/>
  <c r="J156" i="2" s="1"/>
  <c r="L156" i="2" s="1"/>
  <c r="H94" i="2"/>
  <c r="J94" i="2" s="1"/>
  <c r="L94" i="2" s="1"/>
  <c r="D93" i="12" s="1"/>
  <c r="CN93" i="12" s="1"/>
  <c r="CN128" i="12" s="1"/>
  <c r="H127" i="2"/>
  <c r="H350" i="2"/>
  <c r="J350" i="2" s="1"/>
  <c r="L350" i="2" s="1"/>
  <c r="H126" i="2"/>
  <c r="J126" i="2" s="1"/>
  <c r="L126" i="2" s="1"/>
  <c r="D125" i="12" s="1"/>
  <c r="DT125" i="12" s="1"/>
  <c r="DT128" i="12" s="1"/>
  <c r="H120" i="2"/>
  <c r="J120" i="2" s="1"/>
  <c r="L120" i="2" s="1"/>
  <c r="D119" i="12" s="1"/>
  <c r="DN119" i="12" s="1"/>
  <c r="DN128" i="12" s="1"/>
  <c r="H128" i="2"/>
  <c r="H136" i="2"/>
  <c r="J136" i="2" s="1"/>
  <c r="L136" i="2" s="1"/>
  <c r="H144" i="2"/>
  <c r="J144" i="2" s="1"/>
  <c r="L144" i="2" s="1"/>
  <c r="H152" i="2"/>
  <c r="J152" i="2" s="1"/>
  <c r="L152" i="2" s="1"/>
  <c r="H161" i="2"/>
  <c r="J161" i="2" s="1"/>
  <c r="L161" i="2" s="1"/>
  <c r="H169" i="2"/>
  <c r="J169" i="2" s="1"/>
  <c r="L169" i="2" s="1"/>
  <c r="H177" i="2"/>
  <c r="J177" i="2" s="1"/>
  <c r="L177" i="2" s="1"/>
  <c r="H185" i="2"/>
  <c r="J185" i="2" s="1"/>
  <c r="L185" i="2" s="1"/>
  <c r="H193" i="2"/>
  <c r="J193" i="2" s="1"/>
  <c r="L193" i="2" s="1"/>
  <c r="H201" i="2"/>
  <c r="J201" i="2" s="1"/>
  <c r="L201" i="2" s="1"/>
  <c r="H209" i="2"/>
  <c r="J209" i="2" s="1"/>
  <c r="L209" i="2" s="1"/>
  <c r="H217" i="2"/>
  <c r="J217" i="2" s="1"/>
  <c r="L217" i="2" s="1"/>
  <c r="H225" i="2"/>
  <c r="J225" i="2" s="1"/>
  <c r="L225" i="2" s="1"/>
  <c r="H233" i="2"/>
  <c r="J233" i="2" s="1"/>
  <c r="L233" i="2" s="1"/>
  <c r="H241" i="2"/>
  <c r="J241" i="2" s="1"/>
  <c r="L241" i="2" s="1"/>
  <c r="H249" i="2"/>
  <c r="J249" i="2" s="1"/>
  <c r="L249" i="2" s="1"/>
  <c r="H257" i="2"/>
  <c r="J257" i="2" s="1"/>
  <c r="L257" i="2" s="1"/>
  <c r="H265" i="2"/>
  <c r="J265" i="2" s="1"/>
  <c r="L265" i="2" s="1"/>
  <c r="H273" i="2"/>
  <c r="J273" i="2" s="1"/>
  <c r="L273" i="2" s="1"/>
  <c r="H281" i="2"/>
  <c r="J281" i="2" s="1"/>
  <c r="L281" i="2" s="1"/>
  <c r="H289" i="2"/>
  <c r="J289" i="2" s="1"/>
  <c r="L289" i="2" s="1"/>
  <c r="H297" i="2"/>
  <c r="J297" i="2" s="1"/>
  <c r="L297" i="2" s="1"/>
  <c r="H305" i="2"/>
  <c r="J305" i="2" s="1"/>
  <c r="L305" i="2" s="1"/>
  <c r="H313" i="2"/>
  <c r="J313" i="2" s="1"/>
  <c r="L313" i="2" s="1"/>
  <c r="H322" i="2"/>
  <c r="J322" i="2" s="1"/>
  <c r="L322" i="2" s="1"/>
  <c r="H330" i="2"/>
  <c r="J330" i="2" s="1"/>
  <c r="L330" i="2" s="1"/>
  <c r="H339" i="2"/>
  <c r="J339" i="2" s="1"/>
  <c r="L339" i="2" s="1"/>
  <c r="H347" i="2"/>
  <c r="J347" i="2" s="1"/>
  <c r="L347" i="2" s="1"/>
  <c r="H11" i="2"/>
  <c r="J11" i="2" s="1"/>
  <c r="L11" i="2" s="1"/>
  <c r="D10" i="12" s="1"/>
  <c r="I10" i="12" s="1"/>
  <c r="I128" i="12" s="1"/>
  <c r="H20" i="2"/>
  <c r="J20" i="2" s="1"/>
  <c r="L20" i="2" s="1"/>
  <c r="D19" i="12" s="1"/>
  <c r="R19" i="12" s="1"/>
  <c r="R128" i="12" s="1"/>
  <c r="H28" i="2"/>
  <c r="J28" i="2" s="1"/>
  <c r="L28" i="2" s="1"/>
  <c r="D27" i="12" s="1"/>
  <c r="Z27" i="12" s="1"/>
  <c r="Z128" i="12" s="1"/>
  <c r="H36" i="2"/>
  <c r="J36" i="2" s="1"/>
  <c r="L36" i="2" s="1"/>
  <c r="D35" i="12" s="1"/>
  <c r="AH35" i="12" s="1"/>
  <c r="AH128" i="12" s="1"/>
  <c r="H44" i="2"/>
  <c r="J44" i="2" s="1"/>
  <c r="L44" i="2" s="1"/>
  <c r="D43" i="12" s="1"/>
  <c r="AP43" i="12" s="1"/>
  <c r="AP128" i="12" s="1"/>
  <c r="H53" i="2"/>
  <c r="J53" i="2" s="1"/>
  <c r="L53" i="2" s="1"/>
  <c r="D52" i="12" s="1"/>
  <c r="AY52" i="12" s="1"/>
  <c r="AY128" i="12" s="1"/>
  <c r="H61" i="2"/>
  <c r="J61" i="2" s="1"/>
  <c r="L61" i="2" s="1"/>
  <c r="D60" i="12" s="1"/>
  <c r="BG60" i="12" s="1"/>
  <c r="BG128" i="12" s="1"/>
  <c r="H69" i="2"/>
  <c r="J69" i="2" s="1"/>
  <c r="L69" i="2" s="1"/>
  <c r="D68" i="12" s="1"/>
  <c r="BO68" i="12" s="1"/>
  <c r="BO128" i="12" s="1"/>
  <c r="H77" i="2"/>
  <c r="J77" i="2" s="1"/>
  <c r="L77" i="2" s="1"/>
  <c r="D76" i="12" s="1"/>
  <c r="BW76" i="12" s="1"/>
  <c r="BW128" i="12" s="1"/>
  <c r="H85" i="2"/>
  <c r="J85" i="2" s="1"/>
  <c r="L85" i="2" s="1"/>
  <c r="H93" i="2"/>
  <c r="J93" i="2" s="1"/>
  <c r="L93" i="2" s="1"/>
  <c r="D92" i="12" s="1"/>
  <c r="CM92" i="12" s="1"/>
  <c r="CM128" i="12" s="1"/>
  <c r="H102" i="2"/>
  <c r="J102" i="2" s="1"/>
  <c r="L102" i="2" s="1"/>
  <c r="D101" i="12" s="1"/>
  <c r="CV101" i="12" s="1"/>
  <c r="CV128" i="12" s="1"/>
  <c r="H110" i="2"/>
  <c r="J110" i="2" s="1"/>
  <c r="L110" i="2" s="1"/>
  <c r="D109" i="12" s="1"/>
  <c r="DD109" i="12" s="1"/>
  <c r="DD128" i="12" s="1"/>
  <c r="H118" i="2"/>
  <c r="J118" i="2" s="1"/>
  <c r="L118" i="2" s="1"/>
  <c r="H103" i="2"/>
  <c r="J103" i="2" s="1"/>
  <c r="L103" i="2" s="1"/>
  <c r="D102" i="12" s="1"/>
  <c r="CW102" i="12" s="1"/>
  <c r="CW128" i="12" s="1"/>
  <c r="H129" i="2"/>
  <c r="J129" i="2" s="1"/>
  <c r="L129" i="2" s="1"/>
  <c r="H137" i="2"/>
  <c r="J137" i="2" s="1"/>
  <c r="L137" i="2" s="1"/>
  <c r="H145" i="2"/>
  <c r="J145" i="2" s="1"/>
  <c r="L145" i="2" s="1"/>
  <c r="H153" i="2"/>
  <c r="J153" i="2" s="1"/>
  <c r="L153" i="2" s="1"/>
  <c r="H162" i="2"/>
  <c r="J162" i="2" s="1"/>
  <c r="L162" i="2" s="1"/>
  <c r="H170" i="2"/>
  <c r="J170" i="2" s="1"/>
  <c r="L170" i="2" s="1"/>
  <c r="H178" i="2"/>
  <c r="J178" i="2" s="1"/>
  <c r="L178" i="2" s="1"/>
  <c r="H186" i="2"/>
  <c r="J186" i="2" s="1"/>
  <c r="L186" i="2" s="1"/>
  <c r="H194" i="2"/>
  <c r="J194" i="2" s="1"/>
  <c r="L194" i="2" s="1"/>
  <c r="H202" i="2"/>
  <c r="J202" i="2" s="1"/>
  <c r="L202" i="2" s="1"/>
  <c r="H210" i="2"/>
  <c r="J210" i="2" s="1"/>
  <c r="L210" i="2" s="1"/>
  <c r="H218" i="2"/>
  <c r="J218" i="2" s="1"/>
  <c r="L218" i="2" s="1"/>
  <c r="H226" i="2"/>
  <c r="J226" i="2" s="1"/>
  <c r="L226" i="2" s="1"/>
  <c r="H234" i="2"/>
  <c r="J234" i="2" s="1"/>
  <c r="L234" i="2" s="1"/>
  <c r="H242" i="2"/>
  <c r="J242" i="2" s="1"/>
  <c r="L242" i="2" s="1"/>
  <c r="H250" i="2"/>
  <c r="J250" i="2" s="1"/>
  <c r="L250" i="2" s="1"/>
  <c r="H258" i="2"/>
  <c r="J258" i="2" s="1"/>
  <c r="L258" i="2" s="1"/>
  <c r="H266" i="2"/>
  <c r="J266" i="2" s="1"/>
  <c r="L266" i="2" s="1"/>
  <c r="H274" i="2"/>
  <c r="J274" i="2" s="1"/>
  <c r="L274" i="2" s="1"/>
  <c r="H282" i="2"/>
  <c r="J282" i="2" s="1"/>
  <c r="L282" i="2" s="1"/>
  <c r="H290" i="2"/>
  <c r="J290" i="2" s="1"/>
  <c r="L290" i="2" s="1"/>
  <c r="H298" i="2"/>
  <c r="J298" i="2" s="1"/>
  <c r="L298" i="2" s="1"/>
  <c r="H306" i="2"/>
  <c r="J306" i="2" s="1"/>
  <c r="L306" i="2" s="1"/>
  <c r="H314" i="2"/>
  <c r="J314" i="2" s="1"/>
  <c r="L314" i="2" s="1"/>
  <c r="H323" i="2"/>
  <c r="J323" i="2" s="1"/>
  <c r="L323" i="2" s="1"/>
  <c r="H331" i="2"/>
  <c r="J331" i="2" s="1"/>
  <c r="L331" i="2" s="1"/>
  <c r="H340" i="2"/>
  <c r="J340" i="2" s="1"/>
  <c r="L340" i="2" s="1"/>
  <c r="H348" i="2"/>
  <c r="J348" i="2" s="1"/>
  <c r="L348" i="2" s="1"/>
  <c r="H12" i="2"/>
  <c r="J12" i="2" s="1"/>
  <c r="L12" i="2" s="1"/>
  <c r="D11" i="12" s="1"/>
  <c r="J11" i="12" s="1"/>
  <c r="J128" i="12" s="1"/>
  <c r="H21" i="2"/>
  <c r="J21" i="2" s="1"/>
  <c r="L21" i="2" s="1"/>
  <c r="D20" i="12" s="1"/>
  <c r="S20" i="12" s="1"/>
  <c r="S128" i="12" s="1"/>
  <c r="H29" i="2"/>
  <c r="J29" i="2" s="1"/>
  <c r="L29" i="2" s="1"/>
  <c r="D28" i="12" s="1"/>
  <c r="AA28" i="12" s="1"/>
  <c r="AA128" i="12" s="1"/>
  <c r="H37" i="2"/>
  <c r="J37" i="2" s="1"/>
  <c r="L37" i="2" s="1"/>
  <c r="D36" i="12" s="1"/>
  <c r="AI36" i="12" s="1"/>
  <c r="AI128" i="12" s="1"/>
  <c r="H45" i="2"/>
  <c r="J45" i="2" s="1"/>
  <c r="L45" i="2" s="1"/>
  <c r="D44" i="12" s="1"/>
  <c r="AQ44" i="12" s="1"/>
  <c r="AQ128" i="12" s="1"/>
  <c r="H54" i="2"/>
  <c r="J54" i="2" s="1"/>
  <c r="L54" i="2" s="1"/>
  <c r="D53" i="12" s="1"/>
  <c r="AZ53" i="12" s="1"/>
  <c r="AZ128" i="12" s="1"/>
  <c r="H62" i="2"/>
  <c r="J62" i="2" s="1"/>
  <c r="L62" i="2" s="1"/>
  <c r="D61" i="12" s="1"/>
  <c r="BH61" i="12" s="1"/>
  <c r="BH128" i="12" s="1"/>
  <c r="H70" i="2"/>
  <c r="J70" i="2" s="1"/>
  <c r="L70" i="2" s="1"/>
  <c r="D69" i="12" s="1"/>
  <c r="BP69" i="12" s="1"/>
  <c r="BP128" i="12" s="1"/>
  <c r="H78" i="2"/>
  <c r="J78" i="2" s="1"/>
  <c r="L78" i="2" s="1"/>
  <c r="D77" i="12" s="1"/>
  <c r="BX77" i="12" s="1"/>
  <c r="BX128" i="12" s="1"/>
  <c r="H86" i="2"/>
  <c r="J86" i="2" s="1"/>
  <c r="L86" i="2" s="1"/>
  <c r="H95" i="2"/>
  <c r="J95" i="2" s="1"/>
  <c r="L95" i="2" s="1"/>
  <c r="D94" i="12" s="1"/>
  <c r="CO94" i="12" s="1"/>
  <c r="CO128" i="12" s="1"/>
  <c r="H111" i="2"/>
  <c r="J111" i="2" s="1"/>
  <c r="L111" i="2" s="1"/>
  <c r="D110" i="12" s="1"/>
  <c r="DE110" i="12" s="1"/>
  <c r="DE128" i="12" s="1"/>
  <c r="H130" i="2"/>
  <c r="J130" i="2" s="1"/>
  <c r="L130" i="2" s="1"/>
  <c r="H138" i="2"/>
  <c r="J138" i="2" s="1"/>
  <c r="L138" i="2" s="1"/>
  <c r="H146" i="2"/>
  <c r="J146" i="2" s="1"/>
  <c r="L146" i="2" s="1"/>
  <c r="H154" i="2"/>
  <c r="J154" i="2" s="1"/>
  <c r="L154" i="2" s="1"/>
  <c r="H163" i="2"/>
  <c r="J163" i="2" s="1"/>
  <c r="L163" i="2" s="1"/>
  <c r="H171" i="2"/>
  <c r="J171" i="2" s="1"/>
  <c r="L171" i="2" s="1"/>
  <c r="H179" i="2"/>
  <c r="J179" i="2" s="1"/>
  <c r="L179" i="2" s="1"/>
  <c r="H187" i="2"/>
  <c r="J187" i="2" s="1"/>
  <c r="L187" i="2" s="1"/>
  <c r="H195" i="2"/>
  <c r="J195" i="2" s="1"/>
  <c r="L195" i="2" s="1"/>
  <c r="H203" i="2"/>
  <c r="J203" i="2" s="1"/>
  <c r="L203" i="2" s="1"/>
  <c r="H211" i="2"/>
  <c r="J211" i="2" s="1"/>
  <c r="L211" i="2" s="1"/>
  <c r="H219" i="2"/>
  <c r="J219" i="2" s="1"/>
  <c r="L219" i="2" s="1"/>
  <c r="H227" i="2"/>
  <c r="J227" i="2" s="1"/>
  <c r="L227" i="2" s="1"/>
  <c r="H235" i="2"/>
  <c r="J235" i="2" s="1"/>
  <c r="L235" i="2" s="1"/>
  <c r="H243" i="2"/>
  <c r="J243" i="2" s="1"/>
  <c r="L243" i="2" s="1"/>
  <c r="H251" i="2"/>
  <c r="J251" i="2" s="1"/>
  <c r="L251" i="2" s="1"/>
  <c r="H259" i="2"/>
  <c r="J259" i="2" s="1"/>
  <c r="L259" i="2" s="1"/>
  <c r="H267" i="2"/>
  <c r="J267" i="2" s="1"/>
  <c r="L267" i="2" s="1"/>
  <c r="H275" i="2"/>
  <c r="J275" i="2" s="1"/>
  <c r="L275" i="2" s="1"/>
  <c r="H283" i="2"/>
  <c r="J283" i="2" s="1"/>
  <c r="L283" i="2" s="1"/>
  <c r="H291" i="2"/>
  <c r="J291" i="2" s="1"/>
  <c r="L291" i="2" s="1"/>
  <c r="H299" i="2"/>
  <c r="J299" i="2" s="1"/>
  <c r="L299" i="2" s="1"/>
  <c r="H307" i="2"/>
  <c r="J307" i="2" s="1"/>
  <c r="L307" i="2" s="1"/>
  <c r="H316" i="2"/>
  <c r="J316" i="2" s="1"/>
  <c r="L316" i="2" s="1"/>
  <c r="H324" i="2"/>
  <c r="J324" i="2" s="1"/>
  <c r="L324" i="2" s="1"/>
  <c r="H332" i="2"/>
  <c r="J332" i="2" s="1"/>
  <c r="L332" i="2" s="1"/>
  <c r="H341" i="2"/>
  <c r="J341" i="2" s="1"/>
  <c r="L341" i="2" s="1"/>
  <c r="H349" i="2"/>
  <c r="J349" i="2" s="1"/>
  <c r="L349" i="2" s="1"/>
  <c r="H13" i="2"/>
  <c r="J13" i="2" s="1"/>
  <c r="L13" i="2" s="1"/>
  <c r="D12" i="12" s="1"/>
  <c r="K12" i="12" s="1"/>
  <c r="K128" i="12" s="1"/>
  <c r="H22" i="2"/>
  <c r="J22" i="2" s="1"/>
  <c r="L22" i="2" s="1"/>
  <c r="D21" i="12" s="1"/>
  <c r="T21" i="12" s="1"/>
  <c r="T128" i="12" s="1"/>
  <c r="H30" i="2"/>
  <c r="J30" i="2" s="1"/>
  <c r="L30" i="2" s="1"/>
  <c r="D29" i="12" s="1"/>
  <c r="AB29" i="12" s="1"/>
  <c r="AB128" i="12" s="1"/>
  <c r="H38" i="2"/>
  <c r="J38" i="2" s="1"/>
  <c r="L38" i="2" s="1"/>
  <c r="D37" i="12" s="1"/>
  <c r="AJ37" i="12" s="1"/>
  <c r="AJ128" i="12" s="1"/>
  <c r="H47" i="2"/>
  <c r="J47" i="2" s="1"/>
  <c r="L47" i="2" s="1"/>
  <c r="D46" i="12" s="1"/>
  <c r="AS46" i="12" s="1"/>
  <c r="AS128" i="12" s="1"/>
  <c r="H55" i="2"/>
  <c r="J55" i="2" s="1"/>
  <c r="L55" i="2" s="1"/>
  <c r="D54" i="12" s="1"/>
  <c r="BA54" i="12" s="1"/>
  <c r="BA128" i="12" s="1"/>
  <c r="H63" i="2"/>
  <c r="J63" i="2" s="1"/>
  <c r="L63" i="2" s="1"/>
  <c r="D62" i="12" s="1"/>
  <c r="BI62" i="12" s="1"/>
  <c r="BI128" i="12" s="1"/>
  <c r="H71" i="2"/>
  <c r="J71" i="2" s="1"/>
  <c r="L71" i="2" s="1"/>
  <c r="D70" i="12" s="1"/>
  <c r="BQ70" i="12" s="1"/>
  <c r="BQ128" i="12" s="1"/>
  <c r="H79" i="2"/>
  <c r="J79" i="2" s="1"/>
  <c r="L79" i="2" s="1"/>
  <c r="D78" i="12" s="1"/>
  <c r="BY78" i="12" s="1"/>
  <c r="BY128" i="12" s="1"/>
  <c r="H87" i="2"/>
  <c r="J87" i="2" s="1"/>
  <c r="L87" i="2" s="1"/>
  <c r="D86" i="12" s="1"/>
  <c r="CG86" i="12" s="1"/>
  <c r="CG128" i="12" s="1"/>
  <c r="F40" i="11" s="1"/>
  <c r="M40" i="11" s="1"/>
  <c r="H96" i="2"/>
  <c r="J96" i="2" s="1"/>
  <c r="L96" i="2" s="1"/>
  <c r="D95" i="12" s="1"/>
  <c r="CP95" i="12" s="1"/>
  <c r="CP128" i="12" s="1"/>
  <c r="H104" i="2"/>
  <c r="J104" i="2" s="1"/>
  <c r="L104" i="2" s="1"/>
  <c r="D103" i="12" s="1"/>
  <c r="CX103" i="12" s="1"/>
  <c r="CX128" i="12" s="1"/>
  <c r="H131" i="2"/>
  <c r="J131" i="2" s="1"/>
  <c r="L131" i="2" s="1"/>
  <c r="H139" i="2"/>
  <c r="J139" i="2" s="1"/>
  <c r="L139" i="2" s="1"/>
  <c r="H147" i="2"/>
  <c r="J147" i="2" s="1"/>
  <c r="L147" i="2" s="1"/>
  <c r="H155" i="2"/>
  <c r="J155" i="2" s="1"/>
  <c r="L155" i="2" s="1"/>
  <c r="H164" i="2"/>
  <c r="J164" i="2" s="1"/>
  <c r="L164" i="2" s="1"/>
  <c r="H172" i="2"/>
  <c r="J172" i="2" s="1"/>
  <c r="L172" i="2" s="1"/>
  <c r="H180" i="2"/>
  <c r="J180" i="2" s="1"/>
  <c r="L180" i="2" s="1"/>
  <c r="H188" i="2"/>
  <c r="J188" i="2" s="1"/>
  <c r="L188" i="2" s="1"/>
  <c r="H196" i="2"/>
  <c r="J196" i="2" s="1"/>
  <c r="L196" i="2" s="1"/>
  <c r="H204" i="2"/>
  <c r="J204" i="2" s="1"/>
  <c r="L204" i="2" s="1"/>
  <c r="H212" i="2"/>
  <c r="J212" i="2" s="1"/>
  <c r="L212" i="2" s="1"/>
  <c r="H220" i="2"/>
  <c r="J220" i="2" s="1"/>
  <c r="L220" i="2" s="1"/>
  <c r="H228" i="2"/>
  <c r="J228" i="2" s="1"/>
  <c r="L228" i="2" s="1"/>
  <c r="H236" i="2"/>
  <c r="J236" i="2" s="1"/>
  <c r="L236" i="2" s="1"/>
  <c r="H244" i="2"/>
  <c r="J244" i="2" s="1"/>
  <c r="L244" i="2" s="1"/>
  <c r="H252" i="2"/>
  <c r="J252" i="2" s="1"/>
  <c r="L252" i="2" s="1"/>
  <c r="H260" i="2"/>
  <c r="J260" i="2" s="1"/>
  <c r="L260" i="2" s="1"/>
  <c r="H268" i="2"/>
  <c r="J268" i="2" s="1"/>
  <c r="L268" i="2" s="1"/>
  <c r="H276" i="2"/>
  <c r="J276" i="2" s="1"/>
  <c r="L276" i="2" s="1"/>
  <c r="H284" i="2"/>
  <c r="J284" i="2" s="1"/>
  <c r="L284" i="2" s="1"/>
  <c r="H292" i="2"/>
  <c r="J292" i="2" s="1"/>
  <c r="L292" i="2" s="1"/>
  <c r="H300" i="2"/>
  <c r="J300" i="2" s="1"/>
  <c r="L300" i="2" s="1"/>
  <c r="H308" i="2"/>
  <c r="J308" i="2" s="1"/>
  <c r="L308" i="2" s="1"/>
  <c r="H317" i="2"/>
  <c r="J317" i="2" s="1"/>
  <c r="L317" i="2" s="1"/>
  <c r="H325" i="2"/>
  <c r="J325" i="2" s="1"/>
  <c r="L325" i="2" s="1"/>
  <c r="H333" i="2"/>
  <c r="J333" i="2" s="1"/>
  <c r="L333" i="2" s="1"/>
  <c r="H342" i="2"/>
  <c r="J342" i="2" s="1"/>
  <c r="L342" i="2" s="1"/>
  <c r="H351" i="2"/>
  <c r="J351" i="2" s="1"/>
  <c r="L351" i="2" s="1"/>
  <c r="D23" i="9" s="1"/>
  <c r="H14" i="2"/>
  <c r="J14" i="2" s="1"/>
  <c r="L14" i="2" s="1"/>
  <c r="D13" i="12" s="1"/>
  <c r="L13" i="12" s="1"/>
  <c r="L128" i="12" s="1"/>
  <c r="H23" i="2"/>
  <c r="J23" i="2" s="1"/>
  <c r="L23" i="2" s="1"/>
  <c r="D22" i="12" s="1"/>
  <c r="U22" i="12" s="1"/>
  <c r="U128" i="12" s="1"/>
  <c r="H31" i="2"/>
  <c r="J31" i="2" s="1"/>
  <c r="L31" i="2" s="1"/>
  <c r="D30" i="12" s="1"/>
  <c r="AC30" i="12" s="1"/>
  <c r="AC128" i="12" s="1"/>
  <c r="H39" i="2"/>
  <c r="J39" i="2" s="1"/>
  <c r="L39" i="2" s="1"/>
  <c r="D38" i="12" s="1"/>
  <c r="AK38" i="12" s="1"/>
  <c r="AK128" i="12" s="1"/>
  <c r="H48" i="2"/>
  <c r="J48" i="2" s="1"/>
  <c r="L48" i="2" s="1"/>
  <c r="D47" i="12" s="1"/>
  <c r="AT47" i="12" s="1"/>
  <c r="AT128" i="12" s="1"/>
  <c r="H56" i="2"/>
  <c r="J56" i="2" s="1"/>
  <c r="L56" i="2" s="1"/>
  <c r="D55" i="12" s="1"/>
  <c r="BB55" i="12" s="1"/>
  <c r="BB128" i="12" s="1"/>
  <c r="H64" i="2"/>
  <c r="J64" i="2" s="1"/>
  <c r="L64" i="2" s="1"/>
  <c r="D63" i="12" s="1"/>
  <c r="BJ63" i="12" s="1"/>
  <c r="BJ128" i="12" s="1"/>
  <c r="H72" i="2"/>
  <c r="J72" i="2" s="1"/>
  <c r="L72" i="2" s="1"/>
  <c r="D71" i="12" s="1"/>
  <c r="BR71" i="12" s="1"/>
  <c r="BR128" i="12" s="1"/>
  <c r="H80" i="2"/>
  <c r="J80" i="2" s="1"/>
  <c r="L80" i="2" s="1"/>
  <c r="D79" i="12" s="1"/>
  <c r="BZ79" i="12" s="1"/>
  <c r="BZ128" i="12" s="1"/>
  <c r="H88" i="2"/>
  <c r="J88" i="2" s="1"/>
  <c r="L88" i="2" s="1"/>
  <c r="D87" i="12" s="1"/>
  <c r="CH87" i="12" s="1"/>
  <c r="CH128" i="12" s="1"/>
  <c r="H97" i="2"/>
  <c r="J97" i="2" s="1"/>
  <c r="L97" i="2" s="1"/>
  <c r="D96" i="12" s="1"/>
  <c r="CQ96" i="12" s="1"/>
  <c r="CQ128" i="12" s="1"/>
  <c r="H105" i="2"/>
  <c r="J105" i="2" s="1"/>
  <c r="L105" i="2" s="1"/>
  <c r="D104" i="12" s="1"/>
  <c r="CY104" i="12" s="1"/>
  <c r="CY128" i="12" s="1"/>
  <c r="H113" i="2"/>
  <c r="J113" i="2" s="1"/>
  <c r="L113" i="2" s="1"/>
  <c r="D112" i="12" s="1"/>
  <c r="DG112" i="12" s="1"/>
  <c r="DG128" i="12" s="1"/>
  <c r="H123" i="2"/>
  <c r="J123" i="2" s="1"/>
  <c r="L123" i="2" s="1"/>
  <c r="D122" i="12" s="1"/>
  <c r="DQ122" i="12" s="1"/>
  <c r="DQ128" i="12" s="1"/>
  <c r="H132" i="2"/>
  <c r="J132" i="2" s="1"/>
  <c r="L132" i="2" s="1"/>
  <c r="H140" i="2"/>
  <c r="J140" i="2" s="1"/>
  <c r="L140" i="2" s="1"/>
  <c r="H148" i="2"/>
  <c r="J148" i="2" s="1"/>
  <c r="L148" i="2" s="1"/>
  <c r="H157" i="2"/>
  <c r="J157" i="2" s="1"/>
  <c r="L157" i="2" s="1"/>
  <c r="H165" i="2"/>
  <c r="J165" i="2" s="1"/>
  <c r="L165" i="2" s="1"/>
  <c r="H173" i="2"/>
  <c r="J173" i="2" s="1"/>
  <c r="L173" i="2" s="1"/>
  <c r="H181" i="2"/>
  <c r="J181" i="2" s="1"/>
  <c r="L181" i="2" s="1"/>
  <c r="H189" i="2"/>
  <c r="J189" i="2" s="1"/>
  <c r="L189" i="2" s="1"/>
  <c r="H197" i="2"/>
  <c r="J197" i="2" s="1"/>
  <c r="L197" i="2" s="1"/>
  <c r="H205" i="2"/>
  <c r="J205" i="2" s="1"/>
  <c r="L205" i="2" s="1"/>
  <c r="H213" i="2"/>
  <c r="J213" i="2" s="1"/>
  <c r="L213" i="2" s="1"/>
  <c r="H221" i="2"/>
  <c r="J221" i="2" s="1"/>
  <c r="L221" i="2" s="1"/>
  <c r="H229" i="2"/>
  <c r="J229" i="2" s="1"/>
  <c r="L229" i="2" s="1"/>
  <c r="H237" i="2"/>
  <c r="J237" i="2" s="1"/>
  <c r="L237" i="2" s="1"/>
  <c r="H245" i="2"/>
  <c r="J245" i="2" s="1"/>
  <c r="L245" i="2" s="1"/>
  <c r="H253" i="2"/>
  <c r="J253" i="2" s="1"/>
  <c r="L253" i="2" s="1"/>
  <c r="H261" i="2"/>
  <c r="J261" i="2" s="1"/>
  <c r="L261" i="2" s="1"/>
  <c r="H269" i="2"/>
  <c r="J269" i="2" s="1"/>
  <c r="L269" i="2" s="1"/>
  <c r="H277" i="2"/>
  <c r="J277" i="2" s="1"/>
  <c r="L277" i="2" s="1"/>
  <c r="H285" i="2"/>
  <c r="J285" i="2" s="1"/>
  <c r="L285" i="2" s="1"/>
  <c r="H293" i="2"/>
  <c r="J293" i="2" s="1"/>
  <c r="L293" i="2" s="1"/>
  <c r="H301" i="2"/>
  <c r="J301" i="2" s="1"/>
  <c r="L301" i="2" s="1"/>
  <c r="H309" i="2"/>
  <c r="J309" i="2" s="1"/>
  <c r="L309" i="2" s="1"/>
  <c r="H318" i="2"/>
  <c r="J318" i="2" s="1"/>
  <c r="L318" i="2" s="1"/>
  <c r="H326" i="2"/>
  <c r="J326" i="2" s="1"/>
  <c r="L326" i="2" s="1"/>
  <c r="H334" i="2"/>
  <c r="J334" i="2" s="1"/>
  <c r="L334" i="2" s="1"/>
  <c r="H343" i="2"/>
  <c r="J343" i="2" s="1"/>
  <c r="L343" i="2" s="1"/>
  <c r="H7" i="2"/>
  <c r="J7" i="2" s="1"/>
  <c r="L7" i="2" s="1"/>
  <c r="D6" i="12" s="1"/>
  <c r="H15" i="2"/>
  <c r="J15" i="2" s="1"/>
  <c r="L15" i="2" s="1"/>
  <c r="D14" i="12" s="1"/>
  <c r="M14" i="12" s="1"/>
  <c r="M128" i="12" s="1"/>
  <c r="H24" i="2"/>
  <c r="J24" i="2" s="1"/>
  <c r="L24" i="2" s="1"/>
  <c r="D23" i="12" s="1"/>
  <c r="V23" i="12" s="1"/>
  <c r="V128" i="12" s="1"/>
  <c r="H32" i="2"/>
  <c r="J32" i="2" s="1"/>
  <c r="L32" i="2" s="1"/>
  <c r="D31" i="12" s="1"/>
  <c r="AD31" i="12" s="1"/>
  <c r="AD128" i="12" s="1"/>
  <c r="H40" i="2"/>
  <c r="J40" i="2" s="1"/>
  <c r="L40" i="2" s="1"/>
  <c r="D39" i="12" s="1"/>
  <c r="AL39" i="12" s="1"/>
  <c r="AL128" i="12" s="1"/>
  <c r="H49" i="2"/>
  <c r="J49" i="2" s="1"/>
  <c r="L49" i="2" s="1"/>
  <c r="D48" i="12" s="1"/>
  <c r="AU48" i="12" s="1"/>
  <c r="AU128" i="12" s="1"/>
  <c r="H57" i="2"/>
  <c r="J57" i="2" s="1"/>
  <c r="L57" i="2" s="1"/>
  <c r="D56" i="12" s="1"/>
  <c r="BC56" i="12" s="1"/>
  <c r="BC128" i="12" s="1"/>
  <c r="H65" i="2"/>
  <c r="J65" i="2" s="1"/>
  <c r="L65" i="2" s="1"/>
  <c r="D64" i="12" s="1"/>
  <c r="BK64" i="12" s="1"/>
  <c r="BK128" i="12" s="1"/>
  <c r="H73" i="2"/>
  <c r="J73" i="2" s="1"/>
  <c r="L73" i="2" s="1"/>
  <c r="D72" i="12" s="1"/>
  <c r="BS72" i="12" s="1"/>
  <c r="BS128" i="12" s="1"/>
  <c r="H81" i="2"/>
  <c r="J81" i="2" s="1"/>
  <c r="L81" i="2" s="1"/>
  <c r="D80" i="12" s="1"/>
  <c r="CA80" i="12" s="1"/>
  <c r="CA128" i="12" s="1"/>
  <c r="H89" i="2"/>
  <c r="J89" i="2" s="1"/>
  <c r="L89" i="2" s="1"/>
  <c r="D88" i="12" s="1"/>
  <c r="CI88" i="12" s="1"/>
  <c r="CI128" i="12" s="1"/>
  <c r="H98" i="2"/>
  <c r="J98" i="2" s="1"/>
  <c r="L98" i="2" s="1"/>
  <c r="D97" i="12" s="1"/>
  <c r="CR97" i="12" s="1"/>
  <c r="CR128" i="12" s="1"/>
  <c r="H106" i="2"/>
  <c r="J106" i="2" s="1"/>
  <c r="L106" i="2" s="1"/>
  <c r="D105" i="12" s="1"/>
  <c r="CZ105" i="12" s="1"/>
  <c r="CZ128" i="12" s="1"/>
  <c r="H114" i="2"/>
  <c r="J114" i="2" s="1"/>
  <c r="L114" i="2" s="1"/>
  <c r="D113" i="12" s="1"/>
  <c r="DH113" i="12" s="1"/>
  <c r="DH128" i="12" s="1"/>
  <c r="H150" i="2"/>
  <c r="J150" i="2" s="1"/>
  <c r="L150" i="2" s="1"/>
  <c r="H133" i="2"/>
  <c r="J133" i="2" s="1"/>
  <c r="L133" i="2" s="1"/>
  <c r="H141" i="2"/>
  <c r="J141" i="2" s="1"/>
  <c r="L141" i="2" s="1"/>
  <c r="H149" i="2"/>
  <c r="J149" i="2" s="1"/>
  <c r="L149" i="2" s="1"/>
  <c r="H158" i="2"/>
  <c r="J158" i="2" s="1"/>
  <c r="L158" i="2" s="1"/>
  <c r="H166" i="2"/>
  <c r="J166" i="2" s="1"/>
  <c r="L166" i="2" s="1"/>
  <c r="H174" i="2"/>
  <c r="J174" i="2" s="1"/>
  <c r="L174" i="2" s="1"/>
  <c r="H182" i="2"/>
  <c r="J182" i="2" s="1"/>
  <c r="L182" i="2" s="1"/>
  <c r="H190" i="2"/>
  <c r="J190" i="2" s="1"/>
  <c r="L190" i="2" s="1"/>
  <c r="H198" i="2"/>
  <c r="J198" i="2" s="1"/>
  <c r="L198" i="2" s="1"/>
  <c r="H206" i="2"/>
  <c r="J206" i="2" s="1"/>
  <c r="L206" i="2" s="1"/>
  <c r="H214" i="2"/>
  <c r="J214" i="2" s="1"/>
  <c r="L214" i="2" s="1"/>
  <c r="H222" i="2"/>
  <c r="J222" i="2" s="1"/>
  <c r="L222" i="2" s="1"/>
  <c r="H230" i="2"/>
  <c r="J230" i="2" s="1"/>
  <c r="L230" i="2" s="1"/>
  <c r="H238" i="2"/>
  <c r="J238" i="2" s="1"/>
  <c r="L238" i="2" s="1"/>
  <c r="H246" i="2"/>
  <c r="J246" i="2" s="1"/>
  <c r="L246" i="2" s="1"/>
  <c r="H254" i="2"/>
  <c r="J254" i="2" s="1"/>
  <c r="L254" i="2" s="1"/>
  <c r="H262" i="2"/>
  <c r="J262" i="2" s="1"/>
  <c r="L262" i="2" s="1"/>
  <c r="H270" i="2"/>
  <c r="J270" i="2" s="1"/>
  <c r="L270" i="2" s="1"/>
  <c r="H278" i="2"/>
  <c r="J278" i="2" s="1"/>
  <c r="L278" i="2" s="1"/>
  <c r="H286" i="2"/>
  <c r="J286" i="2" s="1"/>
  <c r="L286" i="2" s="1"/>
  <c r="H294" i="2"/>
  <c r="J294" i="2" s="1"/>
  <c r="L294" i="2" s="1"/>
  <c r="H302" i="2"/>
  <c r="J302" i="2" s="1"/>
  <c r="L302" i="2" s="1"/>
  <c r="H310" i="2"/>
  <c r="J310" i="2" s="1"/>
  <c r="L310" i="2" s="1"/>
  <c r="H319" i="2"/>
  <c r="J319" i="2" s="1"/>
  <c r="L319" i="2" s="1"/>
  <c r="H327" i="2"/>
  <c r="J327" i="2" s="1"/>
  <c r="L327" i="2" s="1"/>
  <c r="H335" i="2"/>
  <c r="J335" i="2" s="1"/>
  <c r="L335" i="2" s="1"/>
  <c r="H344" i="2"/>
  <c r="J344" i="2" s="1"/>
  <c r="L344" i="2" s="1"/>
  <c r="H8" i="2"/>
  <c r="J8" i="2" s="1"/>
  <c r="L8" i="2" s="1"/>
  <c r="D7" i="12" s="1"/>
  <c r="F7" i="12" s="1"/>
  <c r="F128" i="12" s="1"/>
  <c r="H17" i="2"/>
  <c r="J17" i="2" s="1"/>
  <c r="L17" i="2" s="1"/>
  <c r="D16" i="12" s="1"/>
  <c r="O16" i="12" s="1"/>
  <c r="O128" i="12" s="1"/>
  <c r="H25" i="2"/>
  <c r="J25" i="2" s="1"/>
  <c r="L25" i="2" s="1"/>
  <c r="D24" i="12" s="1"/>
  <c r="W24" i="12" s="1"/>
  <c r="W128" i="12" s="1"/>
  <c r="H33" i="2"/>
  <c r="J33" i="2" s="1"/>
  <c r="L33" i="2" s="1"/>
  <c r="D32" i="12" s="1"/>
  <c r="AE32" i="12" s="1"/>
  <c r="AE128" i="12" s="1"/>
  <c r="H41" i="2"/>
  <c r="J41" i="2" s="1"/>
  <c r="L41" i="2" s="1"/>
  <c r="D40" i="12" s="1"/>
  <c r="AM40" i="12" s="1"/>
  <c r="AM128" i="12" s="1"/>
  <c r="H50" i="2"/>
  <c r="J50" i="2" s="1"/>
  <c r="L50" i="2" s="1"/>
  <c r="D49" i="12" s="1"/>
  <c r="AV49" i="12" s="1"/>
  <c r="AV128" i="12" s="1"/>
  <c r="H58" i="2"/>
  <c r="J58" i="2" s="1"/>
  <c r="L58" i="2" s="1"/>
  <c r="D57" i="12" s="1"/>
  <c r="BD57" i="12" s="1"/>
  <c r="BD128" i="12" s="1"/>
  <c r="H66" i="2"/>
  <c r="J66" i="2" s="1"/>
  <c r="L66" i="2" s="1"/>
  <c r="D65" i="12" s="1"/>
  <c r="BL65" i="12" s="1"/>
  <c r="BL128" i="12" s="1"/>
  <c r="H74" i="2"/>
  <c r="J74" i="2" s="1"/>
  <c r="L74" i="2" s="1"/>
  <c r="D73" i="12" s="1"/>
  <c r="BT73" i="12" s="1"/>
  <c r="BT128" i="12" s="1"/>
  <c r="H82" i="2"/>
  <c r="J82" i="2" s="1"/>
  <c r="L82" i="2" s="1"/>
  <c r="D81" i="12" s="1"/>
  <c r="CB81" i="12" s="1"/>
  <c r="CB128" i="12" s="1"/>
  <c r="H90" i="2"/>
  <c r="J90" i="2" s="1"/>
  <c r="L90" i="2" s="1"/>
  <c r="D89" i="12" s="1"/>
  <c r="CJ89" i="12" s="1"/>
  <c r="CJ128" i="12" s="1"/>
  <c r="H99" i="2"/>
  <c r="J99" i="2" s="1"/>
  <c r="L99" i="2" s="1"/>
  <c r="D98" i="12" s="1"/>
  <c r="CS98" i="12" s="1"/>
  <c r="CS128" i="12" s="1"/>
  <c r="H107" i="2"/>
  <c r="J107" i="2" s="1"/>
  <c r="L107" i="2" s="1"/>
  <c r="D106" i="12" s="1"/>
  <c r="DA106" i="12" s="1"/>
  <c r="DA128" i="12" s="1"/>
  <c r="H115" i="2"/>
  <c r="J115" i="2" s="1"/>
  <c r="L115" i="2" s="1"/>
  <c r="H142" i="2"/>
  <c r="J142" i="2" s="1"/>
  <c r="L142" i="2" s="1"/>
  <c r="H167" i="2"/>
  <c r="J167" i="2" s="1"/>
  <c r="L167" i="2" s="1"/>
  <c r="H134" i="2"/>
  <c r="J134" i="2" s="1"/>
  <c r="L134" i="2" s="1"/>
  <c r="H135" i="2"/>
  <c r="J135" i="2" s="1"/>
  <c r="L135" i="2" s="1"/>
  <c r="H143" i="2"/>
  <c r="J143" i="2" s="1"/>
  <c r="L143" i="2" s="1"/>
  <c r="H151" i="2"/>
  <c r="J151" i="2" s="1"/>
  <c r="L151" i="2" s="1"/>
  <c r="H160" i="2"/>
  <c r="J160" i="2" s="1"/>
  <c r="L160" i="2" s="1"/>
  <c r="H168" i="2"/>
  <c r="J168" i="2" s="1"/>
  <c r="L168" i="2" s="1"/>
  <c r="H176" i="2"/>
  <c r="J176" i="2" s="1"/>
  <c r="L176" i="2" s="1"/>
  <c r="H184" i="2"/>
  <c r="J184" i="2" s="1"/>
  <c r="L184" i="2" s="1"/>
  <c r="H192" i="2"/>
  <c r="J192" i="2" s="1"/>
  <c r="L192" i="2" s="1"/>
  <c r="H200" i="2"/>
  <c r="J200" i="2" s="1"/>
  <c r="L200" i="2" s="1"/>
  <c r="H208" i="2"/>
  <c r="J208" i="2" s="1"/>
  <c r="L208" i="2" s="1"/>
  <c r="H216" i="2"/>
  <c r="J216" i="2" s="1"/>
  <c r="L216" i="2" s="1"/>
  <c r="H224" i="2"/>
  <c r="J224" i="2" s="1"/>
  <c r="L224" i="2" s="1"/>
  <c r="H232" i="2"/>
  <c r="J232" i="2" s="1"/>
  <c r="L232" i="2" s="1"/>
  <c r="H240" i="2"/>
  <c r="J240" i="2" s="1"/>
  <c r="L240" i="2" s="1"/>
  <c r="H248" i="2"/>
  <c r="J248" i="2" s="1"/>
  <c r="L248" i="2" s="1"/>
  <c r="H256" i="2"/>
  <c r="J256" i="2" s="1"/>
  <c r="L256" i="2" s="1"/>
  <c r="H264" i="2"/>
  <c r="J264" i="2" s="1"/>
  <c r="L264" i="2" s="1"/>
  <c r="H272" i="2"/>
  <c r="J272" i="2" s="1"/>
  <c r="L272" i="2" s="1"/>
  <c r="H280" i="2"/>
  <c r="J280" i="2" s="1"/>
  <c r="L280" i="2" s="1"/>
  <c r="H288" i="2"/>
  <c r="J288" i="2" s="1"/>
  <c r="L288" i="2" s="1"/>
  <c r="H296" i="2"/>
  <c r="J296" i="2" s="1"/>
  <c r="L296" i="2" s="1"/>
  <c r="H304" i="2"/>
  <c r="J304" i="2" s="1"/>
  <c r="L304" i="2" s="1"/>
  <c r="H312" i="2"/>
  <c r="J312" i="2" s="1"/>
  <c r="L312" i="2" s="1"/>
  <c r="H321" i="2"/>
  <c r="J321" i="2" s="1"/>
  <c r="L321" i="2" s="1"/>
  <c r="H329" i="2"/>
  <c r="J329" i="2" s="1"/>
  <c r="L329" i="2" s="1"/>
  <c r="H338" i="2"/>
  <c r="J338" i="2" s="1"/>
  <c r="L338" i="2" s="1"/>
  <c r="H346" i="2"/>
  <c r="J346" i="2" s="1"/>
  <c r="L346" i="2" s="1"/>
  <c r="H10" i="2"/>
  <c r="J10" i="2" s="1"/>
  <c r="L10" i="2" s="1"/>
  <c r="D9" i="12" s="1"/>
  <c r="H9" i="12" s="1"/>
  <c r="H128" i="12" s="1"/>
  <c r="H19" i="2"/>
  <c r="J19" i="2" s="1"/>
  <c r="L19" i="2" s="1"/>
  <c r="D18" i="12" s="1"/>
  <c r="Q18" i="12" s="1"/>
  <c r="Q128" i="12" s="1"/>
  <c r="H27" i="2"/>
  <c r="J27" i="2" s="1"/>
  <c r="L27" i="2" s="1"/>
  <c r="D26" i="12" s="1"/>
  <c r="Y26" i="12" s="1"/>
  <c r="Y128" i="12" s="1"/>
  <c r="H35" i="2"/>
  <c r="J35" i="2" s="1"/>
  <c r="L35" i="2" s="1"/>
  <c r="D34" i="12" s="1"/>
  <c r="AG34" i="12" s="1"/>
  <c r="AG128" i="12" s="1"/>
  <c r="H43" i="2"/>
  <c r="J43" i="2" s="1"/>
  <c r="L43" i="2" s="1"/>
  <c r="D42" i="12" s="1"/>
  <c r="AO42" i="12" s="1"/>
  <c r="AO128" i="12" s="1"/>
  <c r="H52" i="2"/>
  <c r="J52" i="2" s="1"/>
  <c r="L52" i="2" s="1"/>
  <c r="D51" i="12" s="1"/>
  <c r="AX51" i="12" s="1"/>
  <c r="AX128" i="12" s="1"/>
  <c r="H60" i="2"/>
  <c r="J60" i="2" s="1"/>
  <c r="L60" i="2" s="1"/>
  <c r="D59" i="12" s="1"/>
  <c r="BF59" i="12" s="1"/>
  <c r="BF128" i="12" s="1"/>
  <c r="H68" i="2"/>
  <c r="J68" i="2" s="1"/>
  <c r="L68" i="2" s="1"/>
  <c r="D67" i="12" s="1"/>
  <c r="BN67" i="12" s="1"/>
  <c r="BN128" i="12" s="1"/>
  <c r="H76" i="2"/>
  <c r="J76" i="2" s="1"/>
  <c r="L76" i="2" s="1"/>
  <c r="D75" i="12" s="1"/>
  <c r="BV75" i="12" s="1"/>
  <c r="BV128" i="12" s="1"/>
  <c r="H84" i="2"/>
  <c r="J84" i="2" s="1"/>
  <c r="L84" i="2" s="1"/>
  <c r="D83" i="12" s="1"/>
  <c r="CD83" i="12" s="1"/>
  <c r="CD128" i="12" s="1"/>
  <c r="H92" i="2"/>
  <c r="J92" i="2" s="1"/>
  <c r="L92" i="2" s="1"/>
  <c r="D91" i="12" s="1"/>
  <c r="CL91" i="12" s="1"/>
  <c r="CL128" i="12" s="1"/>
  <c r="H101" i="2"/>
  <c r="J101" i="2" s="1"/>
  <c r="L101" i="2" s="1"/>
  <c r="D100" i="12" s="1"/>
  <c r="CU100" i="12" s="1"/>
  <c r="CU128" i="12" s="1"/>
  <c r="H109" i="2"/>
  <c r="J109" i="2" s="1"/>
  <c r="L109" i="2" s="1"/>
  <c r="D108" i="12" s="1"/>
  <c r="DC108" i="12" s="1"/>
  <c r="DC128" i="12" s="1"/>
  <c r="H117" i="2"/>
  <c r="J117" i="2" s="1"/>
  <c r="L117" i="2" s="1"/>
  <c r="D116" i="12" s="1"/>
  <c r="DK116" i="12" s="1"/>
  <c r="DK128" i="12" s="1"/>
  <c r="H119" i="2"/>
  <c r="J119" i="2" s="1"/>
  <c r="L119" i="2" s="1"/>
  <c r="D118" i="12" s="1"/>
  <c r="DM118" i="12" s="1"/>
  <c r="DM128" i="12" s="1"/>
  <c r="H159" i="2"/>
  <c r="J159" i="2" s="1"/>
  <c r="L159" i="2" s="1"/>
  <c r="H231" i="2"/>
  <c r="J231" i="2" s="1"/>
  <c r="L231" i="2" s="1"/>
  <c r="H295" i="2"/>
  <c r="J295" i="2" s="1"/>
  <c r="L295" i="2" s="1"/>
  <c r="H18" i="2"/>
  <c r="J18" i="2" s="1"/>
  <c r="L18" i="2" s="1"/>
  <c r="D17" i="12" s="1"/>
  <c r="P17" i="12" s="1"/>
  <c r="P128" i="12" s="1"/>
  <c r="H83" i="2"/>
  <c r="J83" i="2" s="1"/>
  <c r="L83" i="2" s="1"/>
  <c r="D82" i="12" s="1"/>
  <c r="CC82" i="12" s="1"/>
  <c r="CC128" i="12" s="1"/>
  <c r="H59" i="2"/>
  <c r="J59" i="2" s="1"/>
  <c r="L59" i="2" s="1"/>
  <c r="D58" i="12" s="1"/>
  <c r="BE58" i="12" s="1"/>
  <c r="BE128" i="12" s="1"/>
  <c r="H175" i="2"/>
  <c r="J175" i="2" s="1"/>
  <c r="L175" i="2" s="1"/>
  <c r="H239" i="2"/>
  <c r="J239" i="2" s="1"/>
  <c r="L239" i="2" s="1"/>
  <c r="H303" i="2"/>
  <c r="J303" i="2" s="1"/>
  <c r="L303" i="2" s="1"/>
  <c r="H26" i="2"/>
  <c r="J26" i="2" s="1"/>
  <c r="L26" i="2" s="1"/>
  <c r="D25" i="12" s="1"/>
  <c r="X25" i="12" s="1"/>
  <c r="X128" i="12" s="1"/>
  <c r="H91" i="2"/>
  <c r="J91" i="2" s="1"/>
  <c r="L91" i="2" s="1"/>
  <c r="D90" i="12" s="1"/>
  <c r="CK90" i="12" s="1"/>
  <c r="CK128" i="12" s="1"/>
  <c r="H183" i="2"/>
  <c r="J183" i="2" s="1"/>
  <c r="L183" i="2" s="1"/>
  <c r="H247" i="2"/>
  <c r="J247" i="2" s="1"/>
  <c r="L247" i="2" s="1"/>
  <c r="H311" i="2"/>
  <c r="J311" i="2" s="1"/>
  <c r="L311" i="2" s="1"/>
  <c r="H34" i="2"/>
  <c r="J34" i="2" s="1"/>
  <c r="L34" i="2" s="1"/>
  <c r="D33" i="12" s="1"/>
  <c r="AF33" i="12" s="1"/>
  <c r="AF128" i="12" s="1"/>
  <c r="H100" i="2"/>
  <c r="J100" i="2" s="1"/>
  <c r="L100" i="2" s="1"/>
  <c r="D99" i="12" s="1"/>
  <c r="CT99" i="12" s="1"/>
  <c r="CT128" i="12" s="1"/>
  <c r="H116" i="2"/>
  <c r="J116" i="2" s="1"/>
  <c r="L116" i="2" s="1"/>
  <c r="D115" i="12" s="1"/>
  <c r="DJ115" i="12" s="1"/>
  <c r="DJ128" i="12" s="1"/>
  <c r="H191" i="2"/>
  <c r="J191" i="2" s="1"/>
  <c r="L191" i="2" s="1"/>
  <c r="H255" i="2"/>
  <c r="J255" i="2" s="1"/>
  <c r="L255" i="2" s="1"/>
  <c r="H320" i="2"/>
  <c r="J320" i="2" s="1"/>
  <c r="L320" i="2" s="1"/>
  <c r="H42" i="2"/>
  <c r="J42" i="2" s="1"/>
  <c r="L42" i="2" s="1"/>
  <c r="D41" i="12" s="1"/>
  <c r="AN41" i="12" s="1"/>
  <c r="AN128" i="12" s="1"/>
  <c r="H108" i="2"/>
  <c r="J108" i="2" s="1"/>
  <c r="L108" i="2" s="1"/>
  <c r="D107" i="12" s="1"/>
  <c r="DB107" i="12" s="1"/>
  <c r="DB128" i="12" s="1"/>
  <c r="H199" i="2"/>
  <c r="J199" i="2" s="1"/>
  <c r="L199" i="2" s="1"/>
  <c r="H263" i="2"/>
  <c r="J263" i="2" s="1"/>
  <c r="L263" i="2" s="1"/>
  <c r="H328" i="2"/>
  <c r="J328" i="2" s="1"/>
  <c r="L328" i="2" s="1"/>
  <c r="H51" i="2"/>
  <c r="J51" i="2" s="1"/>
  <c r="L51" i="2" s="1"/>
  <c r="D50" i="12" s="1"/>
  <c r="AW50" i="12" s="1"/>
  <c r="AW128" i="12" s="1"/>
  <c r="H112" i="2"/>
  <c r="J112" i="2" s="1"/>
  <c r="L112" i="2" s="1"/>
  <c r="D111" i="12" s="1"/>
  <c r="DF111" i="12" s="1"/>
  <c r="DF128" i="12" s="1"/>
  <c r="H207" i="2"/>
  <c r="J207" i="2" s="1"/>
  <c r="L207" i="2" s="1"/>
  <c r="H215" i="2"/>
  <c r="J215" i="2" s="1"/>
  <c r="L215" i="2" s="1"/>
  <c r="H279" i="2"/>
  <c r="J279" i="2" s="1"/>
  <c r="L279" i="2" s="1"/>
  <c r="H345" i="2"/>
  <c r="J345" i="2" s="1"/>
  <c r="L345" i="2" s="1"/>
  <c r="H67" i="2"/>
  <c r="J67" i="2" s="1"/>
  <c r="L67" i="2" s="1"/>
  <c r="D66" i="12" s="1"/>
  <c r="BM66" i="12" s="1"/>
  <c r="BM128" i="12" s="1"/>
  <c r="H121" i="2"/>
  <c r="J121" i="2" s="1"/>
  <c r="L121" i="2" s="1"/>
  <c r="D120" i="12" s="1"/>
  <c r="DO120" i="12" s="1"/>
  <c r="DO128" i="12" s="1"/>
  <c r="H337" i="2"/>
  <c r="J337" i="2" s="1"/>
  <c r="L337" i="2" s="1"/>
  <c r="H223" i="2"/>
  <c r="J223" i="2" s="1"/>
  <c r="L223" i="2" s="1"/>
  <c r="H287" i="2"/>
  <c r="J287" i="2" s="1"/>
  <c r="L287" i="2" s="1"/>
  <c r="H9" i="2"/>
  <c r="J9" i="2" s="1"/>
  <c r="L9" i="2" s="1"/>
  <c r="D8" i="12" s="1"/>
  <c r="G8" i="12" s="1"/>
  <c r="G128" i="12" s="1"/>
  <c r="H75" i="2"/>
  <c r="J75" i="2" s="1"/>
  <c r="L75" i="2" s="1"/>
  <c r="D74" i="12" s="1"/>
  <c r="BU74" i="12" s="1"/>
  <c r="BU128" i="12" s="1"/>
  <c r="H271" i="2"/>
  <c r="J271" i="2" s="1"/>
  <c r="L271" i="2" s="1"/>
  <c r="F355" i="2"/>
  <c r="J124" i="2"/>
  <c r="D128" i="17" l="1"/>
  <c r="D29" i="9"/>
  <c r="D121" i="12"/>
  <c r="DP121" i="12" s="1"/>
  <c r="DP128" i="12" s="1"/>
  <c r="K37" i="5"/>
  <c r="F29" i="11"/>
  <c r="M29" i="11" s="1"/>
  <c r="D42" i="10"/>
  <c r="D117" i="12"/>
  <c r="DL117" i="12" s="1"/>
  <c r="DL128" i="12" s="1"/>
  <c r="F51" i="11" s="1"/>
  <c r="M51" i="11" s="1"/>
  <c r="E6" i="12"/>
  <c r="E128" i="12" s="1"/>
  <c r="D11" i="10"/>
  <c r="D85" i="12"/>
  <c r="CF85" i="12" s="1"/>
  <c r="CF128" i="12" s="1"/>
  <c r="D35" i="10"/>
  <c r="D114" i="12"/>
  <c r="DI114" i="12" s="1"/>
  <c r="DI128" i="12" s="1"/>
  <c r="F53" i="11" s="1"/>
  <c r="M53" i="11" s="1"/>
  <c r="F25" i="11"/>
  <c r="M25" i="11" s="1"/>
  <c r="F28" i="11"/>
  <c r="M28" i="11" s="1"/>
  <c r="D10" i="10"/>
  <c r="D84" i="12"/>
  <c r="CE84" i="12" s="1"/>
  <c r="CE128" i="12" s="1"/>
  <c r="F38" i="11" s="1"/>
  <c r="F13" i="11"/>
  <c r="M13" i="11" s="1"/>
  <c r="F26" i="11"/>
  <c r="M26" i="11" s="1"/>
  <c r="F27" i="11"/>
  <c r="M27" i="11" s="1"/>
  <c r="F30" i="11"/>
  <c r="M30" i="11" s="1"/>
  <c r="J128" i="2"/>
  <c r="L128" i="2" s="1"/>
  <c r="D126" i="12" s="1"/>
  <c r="DU126" i="12" s="1"/>
  <c r="DU128" i="12" s="1"/>
  <c r="F8" i="11" s="1"/>
  <c r="M8" i="11" s="1"/>
  <c r="D30" i="9"/>
  <c r="D40" i="10"/>
  <c r="D14" i="9"/>
  <c r="D17" i="10"/>
  <c r="D11" i="9"/>
  <c r="D16" i="10"/>
  <c r="D41" i="10"/>
  <c r="D39" i="10"/>
  <c r="D34" i="10"/>
  <c r="D6" i="9"/>
  <c r="D16" i="9"/>
  <c r="D15" i="10"/>
  <c r="K31" i="5"/>
  <c r="K32" i="5" s="1"/>
  <c r="D29" i="10"/>
  <c r="D15" i="9"/>
  <c r="D17" i="9"/>
  <c r="D8" i="10"/>
  <c r="D18" i="10"/>
  <c r="D9" i="10"/>
  <c r="D7" i="9"/>
  <c r="K36" i="5"/>
  <c r="K41" i="5" s="1"/>
  <c r="D18" i="9"/>
  <c r="D19" i="9"/>
  <c r="H355" i="2"/>
  <c r="J355" i="2"/>
  <c r="L124" i="2"/>
  <c r="M31" i="11" l="1"/>
  <c r="M34" i="11" s="1"/>
  <c r="F45" i="11"/>
  <c r="M38" i="11"/>
  <c r="M45" i="11" s="1"/>
  <c r="D36" i="10"/>
  <c r="D26" i="10"/>
  <c r="D25" i="10"/>
  <c r="D123" i="12"/>
  <c r="DR123" i="12" s="1"/>
  <c r="DR128" i="12" s="1"/>
  <c r="DW128" i="12" s="1"/>
  <c r="D31" i="9"/>
  <c r="F31" i="11"/>
  <c r="F34" i="11" s="1"/>
  <c r="D8" i="9"/>
  <c r="D21" i="9" s="1"/>
  <c r="D26" i="9" s="1"/>
  <c r="O8" i="11" s="1"/>
  <c r="D12" i="10"/>
  <c r="D43" i="10"/>
  <c r="D19" i="10"/>
  <c r="L355" i="2"/>
  <c r="K43" i="5"/>
  <c r="K44" i="5" s="1"/>
  <c r="D21" i="10" l="1"/>
  <c r="D27" i="10"/>
  <c r="D31" i="10" s="1"/>
  <c r="F49" i="11"/>
  <c r="D128" i="12"/>
  <c r="D45" i="10"/>
  <c r="F57" i="11" l="1"/>
  <c r="F59" i="11" s="1"/>
  <c r="M49" i="11"/>
  <c r="M57" i="11" l="1"/>
  <c r="M59" i="11" s="1"/>
  <c r="M62" i="11" s="1"/>
  <c r="O62" i="11" s="1"/>
  <c r="F62" i="11"/>
  <c r="H62"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tc={93A2D640-B3BC-4344-B45C-169ACA42034D}</author>
    <author>tc={D0E8565E-8BF9-4309-8341-2DBB18124EF2}</author>
    <author>tc={DC87218C-8196-4C12-BA35-4817C091B232}</author>
    <author>tc={31053ECE-1A5B-42F1-B235-D5938FAE2685}</author>
    <author>tc={41FA560D-1CF7-48B7-BCB6-C69E39FFA1A7}</author>
    <author>tc={6BCFFE2F-7E1C-4B4E-B12C-4999EC437B19}</author>
    <author>tc={169AA02F-903D-4D2D-9344-5D25E0943D26}</author>
  </authors>
  <commentList>
    <comment ref="R3" authorId="0" shapeId="0" xr:uid="{93A2D640-B3BC-4344-B45C-169ACA42034D}">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Online sales - $13,237.44
Cold Storage Royalty - $12,385.80</t>
        </r>
      </text>
    </comment>
    <comment ref="C46" authorId="1" shapeId="0" xr:uid="{D0E8565E-8BF9-4309-8341-2DBB18124EF2}">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Cold room servicing and repairing of dish washing machine</t>
        </r>
      </text>
    </comment>
    <comment ref="K46" authorId="2" shapeId="0" xr:uid="{DC87218C-8196-4C12-BA35-4817C091B232}">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Repair new compressor for cold room</t>
        </r>
      </text>
    </comment>
    <comment ref="L46" authorId="3" shapeId="0" xr:uid="{31053ECE-1A5B-42F1-B235-D5938FAE2685}">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Repair control pcb, transformer and fuse for oven - $1,530
Sept and Oct valet parking fee</t>
        </r>
      </text>
    </comment>
    <comment ref="N46" authorId="4" shapeId="0" xr:uid="{41FA560D-1CF7-48B7-BCB6-C69E39FFA1A7}">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Supply and replace gasket for the fridge</t>
        </r>
      </text>
    </comment>
    <comment ref="C47" authorId="5" shapeId="0" xr:uid="{6BCFFE2F-7E1C-4B4E-B12C-4999EC437B19}">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scented candle</t>
        </r>
      </text>
    </comment>
    <comment ref="N47" authorId="6" shapeId="0" xr:uid="{169AA02F-903D-4D2D-9344-5D25E0943D26}">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Kitchen tools and utensils for new outlet</t>
        </r>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<sst xmlns="http://schemas.openxmlformats.org/spreadsheetml/2006/main" count="8235" uniqueCount="1855">
  <si>
    <t/>
  </si>
  <si>
    <t xml:space="preserve">BAKER AND COOK PTE LTD                                                          </t>
  </si>
  <si>
    <t>A/C No.</t>
  </si>
  <si>
    <t>Description</t>
  </si>
  <si>
    <t>Description(2)</t>
  </si>
  <si>
    <t>YTD-Debit</t>
  </si>
  <si>
    <t>YTD-Credit</t>
  </si>
  <si>
    <t>MTD-Debit</t>
  </si>
  <si>
    <t>MTD-Credit</t>
  </si>
  <si>
    <t>1000/000</t>
  </si>
  <si>
    <t>SHARE CAPITAL</t>
  </si>
  <si>
    <t>1100/000</t>
  </si>
  <si>
    <t>ACCUMULATED PROFIT / LOSS</t>
  </si>
  <si>
    <t>2B01/008</t>
  </si>
  <si>
    <t>BAKING EQUIPMENT - CENTRAL KITCHEN</t>
  </si>
  <si>
    <t>2B01/009</t>
  </si>
  <si>
    <t>ACC DEPN-BAKING EQ-CENTRAL KITC</t>
  </si>
  <si>
    <t>2B01/010</t>
  </si>
  <si>
    <t>BAKING EQUIPMENT - HILLCREST</t>
  </si>
  <si>
    <t>2B01/015</t>
  </si>
  <si>
    <t>ACC DEPRECIATION - BAKING EQP - HC</t>
  </si>
  <si>
    <t>2B01/020</t>
  </si>
  <si>
    <t>BAKING EQUIPMENT - CHIP BEE</t>
  </si>
  <si>
    <t>2B01/025</t>
  </si>
  <si>
    <t>ACC DEPRECIATION - BAKING EQP - CB</t>
  </si>
  <si>
    <t>2B01/030</t>
  </si>
  <si>
    <t>BAKING EQUIPMENT - INTERCONTINENTAL</t>
  </si>
  <si>
    <t>2B01/035</t>
  </si>
  <si>
    <t>ACC DEPRECIATION - BAKING EQP-INTERCON</t>
  </si>
  <si>
    <t>2B01/040</t>
  </si>
  <si>
    <t>BAKING EQUIPMENT - SWAN LAKE</t>
  </si>
  <si>
    <t>2B01/045</t>
  </si>
  <si>
    <t>ACC DEPRECIATION-BAKING EQP-SWAN LAKE</t>
  </si>
  <si>
    <t>2B01/050</t>
  </si>
  <si>
    <t>BAKING EQUIPMENT - SUNSET WAY</t>
  </si>
  <si>
    <t>2B01/055</t>
  </si>
  <si>
    <t>ACC DEPRECIATION - BAKING EQP - S.WAY</t>
  </si>
  <si>
    <t>2B01/060</t>
  </si>
  <si>
    <t>BAKING EQUIPMENT - BAKING SCHOOL</t>
  </si>
  <si>
    <t>2B01/065</t>
  </si>
  <si>
    <t>ACC DEPRECIATION - BAKING EQP - BS</t>
  </si>
  <si>
    <t>2B01/070</t>
  </si>
  <si>
    <t>BAKING EQUIPMENT - HOLIDAY INN</t>
  </si>
  <si>
    <t>2B01/075</t>
  </si>
  <si>
    <t>ACC DEPRECIATION - BAKING EQP - HI</t>
  </si>
  <si>
    <t>2B01/080</t>
  </si>
  <si>
    <t>BAKING EQUIPMENT - NAMLY</t>
  </si>
  <si>
    <t>2B01/085</t>
  </si>
  <si>
    <t>ACC DEPRECIATION - BAK EQP - NAMLY</t>
  </si>
  <si>
    <t>2B01/090</t>
  </si>
  <si>
    <t>BAKING EQUIPMENT - GREENWOOD</t>
  </si>
  <si>
    <t>2B01/095</t>
  </si>
  <si>
    <t>ACC DEPRECIATION - BAKING EQP- GREENWOOD</t>
  </si>
  <si>
    <t>2B01/100</t>
  </si>
  <si>
    <t>BAKING EQUIPMENT - ENG KONG TER</t>
  </si>
  <si>
    <t>2B01/105</t>
  </si>
  <si>
    <t>ACC DEPRN-BAKING EQP-ENG KONG TER</t>
  </si>
  <si>
    <t>2B01/110</t>
  </si>
  <si>
    <t>BAKING EQUIPMENT - SERANGOON GARDEN WAY</t>
  </si>
  <si>
    <t>2B01/115</t>
  </si>
  <si>
    <t>ACC DEPN - BAKING EQP - SERANGOON WAY</t>
  </si>
  <si>
    <t>2B01/120</t>
  </si>
  <si>
    <t>BAKING EQUIPMENT - DEMPSEY</t>
  </si>
  <si>
    <t>2B01/125</t>
  </si>
  <si>
    <t>ACC DEPN - BAKING EQP - DEMPSEY</t>
  </si>
  <si>
    <t>2B01/130</t>
  </si>
  <si>
    <t>BAKING EQUIPMENT - FABER DR</t>
  </si>
  <si>
    <t>2B01/135</t>
  </si>
  <si>
    <t>ACC DEPN - BAKING EQP - FABER DR</t>
  </si>
  <si>
    <t>2B01/140</t>
  </si>
  <si>
    <t>BAKING EQUIPMENT - SOUTH BUONA VISTA</t>
  </si>
  <si>
    <t>2B01/145</t>
  </si>
  <si>
    <t>ACC DEPN - BAKING EQP - SBV</t>
  </si>
  <si>
    <t>2C01/010</t>
  </si>
  <si>
    <t>COMPUTER - HILLCREST</t>
  </si>
  <si>
    <t>2C01/015</t>
  </si>
  <si>
    <t>ACC DEPRECIATION - COMPUTER - HC</t>
  </si>
  <si>
    <t>2C01/040</t>
  </si>
  <si>
    <t>COMPUTER - SWAN LAKE</t>
  </si>
  <si>
    <t>2C01/045</t>
  </si>
  <si>
    <t>ACC DEPRECIATION - COMPUTER - SWAN LAKE</t>
  </si>
  <si>
    <t>2C01/060</t>
  </si>
  <si>
    <t>COMPUTER - FABER DR</t>
  </si>
  <si>
    <t>2C01/065</t>
  </si>
  <si>
    <t>ACC DEPRECIATION - COMPUTER - FABER DR</t>
  </si>
  <si>
    <t>2C01/070</t>
  </si>
  <si>
    <t>COMPUTER - SBV</t>
  </si>
  <si>
    <t>2C01/075</t>
  </si>
  <si>
    <t>ACC DEPRECIATION - COMPUTER - SBV</t>
  </si>
  <si>
    <t>2F01/008</t>
  </si>
  <si>
    <t>F&amp;F - CENTRAL KITCHEN</t>
  </si>
  <si>
    <t>2F01/009</t>
  </si>
  <si>
    <t>ACC DEPN - F&amp;F - CENTRAL KITCHEN</t>
  </si>
  <si>
    <t>2F01/010</t>
  </si>
  <si>
    <t>FURNITURE AND FITTINGS - HILLCREST</t>
  </si>
  <si>
    <t>2F01/015</t>
  </si>
  <si>
    <t>ACC DEPRECIATION - F&amp;F - HC</t>
  </si>
  <si>
    <t>2F01/020</t>
  </si>
  <si>
    <t>FURNITURE AND FITTINGS - CHIP BEE</t>
  </si>
  <si>
    <t>2F01/025</t>
  </si>
  <si>
    <t>ACC DEPRECIATION - F&amp;F - CB</t>
  </si>
  <si>
    <t>2F01/030</t>
  </si>
  <si>
    <t>FURNITURE AND FITTINGS-INTERCONTINENTAL</t>
  </si>
  <si>
    <t>2F01/035</t>
  </si>
  <si>
    <t>ACC DEPRECIATION - F&amp;F-INTERCONTINENTAL</t>
  </si>
  <si>
    <t>2F01/040</t>
  </si>
  <si>
    <t>FURNITURE AND FITTINGS - SWAN LAKE</t>
  </si>
  <si>
    <t>2F01/045</t>
  </si>
  <si>
    <t>ACC DEPRECIATION - F&amp;F - SWAN LAKE</t>
  </si>
  <si>
    <t>2F01/050</t>
  </si>
  <si>
    <t>FURNITURE AND FITTINGS - SUNSET WAY</t>
  </si>
  <si>
    <t>2F01/055</t>
  </si>
  <si>
    <t>ACC DEP - F&amp;F - SUNSET WAY</t>
  </si>
  <si>
    <t>2F01/060</t>
  </si>
  <si>
    <t>FURNITURE AND FITTINGS - BAKING SCHOOL</t>
  </si>
  <si>
    <t>2F01/065</t>
  </si>
  <si>
    <t>ACC DEPRECIATION - F&amp;F - BS</t>
  </si>
  <si>
    <t>2F01/070</t>
  </si>
  <si>
    <t>FURNITURE &amp; FITTINGS - HOLIDAY INN EXP</t>
  </si>
  <si>
    <t>2F01/075</t>
  </si>
  <si>
    <t>ACC DEP - F&amp;F - HOLIDAY INN</t>
  </si>
  <si>
    <t>2F01/080</t>
  </si>
  <si>
    <t>FURNITURE &amp; FITTINGS - NAMLY PLACE</t>
  </si>
  <si>
    <t>2F01/085</t>
  </si>
  <si>
    <t>ACC DEPRECIATION - F&amp;F - NAMLY</t>
  </si>
  <si>
    <t>2F01/090</t>
  </si>
  <si>
    <t>FURNITURE AND FITTINGS-GREENWOOD</t>
  </si>
  <si>
    <t>2F01/095</t>
  </si>
  <si>
    <t>ACC DEPN - F&amp;F - GREENWOOD</t>
  </si>
  <si>
    <t>2F01/100</t>
  </si>
  <si>
    <t>FURNITURE AND FITTINGS-ENG KONG</t>
  </si>
  <si>
    <t>2F01/105</t>
  </si>
  <si>
    <t>ACC DEPN - F&amp;F - ENG KONG</t>
  </si>
  <si>
    <t>2F01/110</t>
  </si>
  <si>
    <t>FURNITURE AND FITTINGS-SERANGOON</t>
  </si>
  <si>
    <t>2F01/115</t>
  </si>
  <si>
    <t>ACC DEPN - F&amp;F - SERANGOON</t>
  </si>
  <si>
    <t>2F01/120</t>
  </si>
  <si>
    <t>FURNITURE &amp; FITTINGS - DEMPSEY</t>
  </si>
  <si>
    <t>2F01/125</t>
  </si>
  <si>
    <t>ACC DEPN - F&amp;F - DEM</t>
  </si>
  <si>
    <t>2F01/130</t>
  </si>
  <si>
    <t>FURNITURE &amp; FITTINGS - FABER DR</t>
  </si>
  <si>
    <t>2F01/135</t>
  </si>
  <si>
    <t>ACC DEPN - F&amp;F - FABER DR</t>
  </si>
  <si>
    <t>2F01/140</t>
  </si>
  <si>
    <t>FURNITURE &amp; FITTINGS - SOUTH BUONA VISTA</t>
  </si>
  <si>
    <t>2F01/145</t>
  </si>
  <si>
    <t>ACC DEPN - F&amp;F - SOUTH BUONA VISTA</t>
  </si>
  <si>
    <t>2I01/000</t>
  </si>
  <si>
    <t>LONG TERM INVESTMENT</t>
  </si>
  <si>
    <t>2K01/098</t>
  </si>
  <si>
    <t>KITCHEN EQ-CENTRAL KITCHEN</t>
  </si>
  <si>
    <t>2K01/100</t>
  </si>
  <si>
    <t>KITCHEN EQUIPMENTS - SWAN LAKE</t>
  </si>
  <si>
    <t>2K01/700</t>
  </si>
  <si>
    <t>KITCHEN EQUIPMENT - DEMPSEY</t>
  </si>
  <si>
    <t>2O01/010</t>
  </si>
  <si>
    <t>OFFICE EQUIPMENT - HILLCREST</t>
  </si>
  <si>
    <t>2O01/015</t>
  </si>
  <si>
    <t>ACC DEPRECIATION - OFFICE EQP - HC</t>
  </si>
  <si>
    <t>2O01/020</t>
  </si>
  <si>
    <t>OFFICE EQUIPMENT - CHIP BEE</t>
  </si>
  <si>
    <t>2O01/025</t>
  </si>
  <si>
    <t>ACC DEPRECIATION - OFFICE EQP - CB</t>
  </si>
  <si>
    <t>2O01/030</t>
  </si>
  <si>
    <t>OFFICE EQUIPMENT - IC</t>
  </si>
  <si>
    <t>2O01/035</t>
  </si>
  <si>
    <t>ACC DEPRECIATION - OFFICE EQP - IC</t>
  </si>
  <si>
    <t>2O01/040</t>
  </si>
  <si>
    <t>OFFICE EQUIPMENT - SWAN LAKE</t>
  </si>
  <si>
    <t>2O01/045</t>
  </si>
  <si>
    <t>ACC DEPN-OFFICE EQP - SWAN LAKE</t>
  </si>
  <si>
    <t>2O01/050</t>
  </si>
  <si>
    <t>OFFICE EQUIPMENT - SUNSET WAY</t>
  </si>
  <si>
    <t>2O01/055</t>
  </si>
  <si>
    <t>ACC DEPN - OFFICE EQP - SUNSET WAY</t>
  </si>
  <si>
    <t>2O01/060</t>
  </si>
  <si>
    <t>OFFICE EQUIPMENT - BAKING SCHOOL</t>
  </si>
  <si>
    <t>2O01/065</t>
  </si>
  <si>
    <t>ACC DEPRECIATION - OFFICE EQP - BS</t>
  </si>
  <si>
    <t>2O01/070</t>
  </si>
  <si>
    <t>OFFICE EQUIPMENT - HOLIDAY INN</t>
  </si>
  <si>
    <t>2O01/075</t>
  </si>
  <si>
    <t>ACC DEPN - OFFICE EQUIPMENT - HIX</t>
  </si>
  <si>
    <t>2O01/080</t>
  </si>
  <si>
    <t>OFFICE EQUIPMENT - NAMLY</t>
  </si>
  <si>
    <t>2O01/085</t>
  </si>
  <si>
    <t>ACC DEPN - OFFICE EQUIPMENT - NAMLY</t>
  </si>
  <si>
    <t>2O01/090</t>
  </si>
  <si>
    <t>OFFICE EQUIPMENT - GREENWOOD</t>
  </si>
  <si>
    <t>2O01/095</t>
  </si>
  <si>
    <t>ACC DEPN - OFFICE EQ- GREENWOOD</t>
  </si>
  <si>
    <t>2O01/100</t>
  </si>
  <si>
    <t>OFFICE EQUIPMENT - ENG KONG</t>
  </si>
  <si>
    <t>2O01/105</t>
  </si>
  <si>
    <t>ACC DEPN - OFFICE EQ- ENG KONG</t>
  </si>
  <si>
    <t>2O01/110</t>
  </si>
  <si>
    <t>OFFICE EQUIPMENT - SERANGOON WAY</t>
  </si>
  <si>
    <t>2O01/115</t>
  </si>
  <si>
    <t>ACC DEPN - OFFICE EQ- SERANGOON WAY</t>
  </si>
  <si>
    <t>2O01/120</t>
  </si>
  <si>
    <t>OFFICE EQUIPMENT - DEMPSEY</t>
  </si>
  <si>
    <t>2O01/125</t>
  </si>
  <si>
    <t>ACC DEPN - OFFICE EQUIPMENT - DEM</t>
  </si>
  <si>
    <t>2R01/008</t>
  </si>
  <si>
    <t>RENOVATION - CENTRAL KITCHEN</t>
  </si>
  <si>
    <t>2R01/009</t>
  </si>
  <si>
    <t>ACC DEPN-RENO - CENTRAL KTICHEN</t>
  </si>
  <si>
    <t>2R01/010</t>
  </si>
  <si>
    <t>RENOVATION - HILLCREST</t>
  </si>
  <si>
    <t>2R01/015</t>
  </si>
  <si>
    <t>ACC DEPRECIATION - RENO - HC</t>
  </si>
  <si>
    <t>2R01/020</t>
  </si>
  <si>
    <t>RENOVATION - CHIP BEE</t>
  </si>
  <si>
    <t>2R01/025</t>
  </si>
  <si>
    <t>ACC DEPRECIATION - RENO - CB</t>
  </si>
  <si>
    <t>2R01/030</t>
  </si>
  <si>
    <t>RENOVATION - INTERCONTINENTAL</t>
  </si>
  <si>
    <t>2R01/035</t>
  </si>
  <si>
    <t>ACC DEPRECIATION - RENO - INTERCON</t>
  </si>
  <si>
    <t>2R01/040</t>
  </si>
  <si>
    <t>RENOVATION - SWAN LAKE</t>
  </si>
  <si>
    <t>2R01/045</t>
  </si>
  <si>
    <t>ACC DEPN - RENOVATION-SWAN LAKE</t>
  </si>
  <si>
    <t>2R01/050</t>
  </si>
  <si>
    <t>RENOVATION - SUNSET WAY</t>
  </si>
  <si>
    <t>2R01/055</t>
  </si>
  <si>
    <t>ACC DEPN - RENO - SUNSET WAY</t>
  </si>
  <si>
    <t>2R01/060</t>
  </si>
  <si>
    <t>RENOVATION - BAKING SCHOOL</t>
  </si>
  <si>
    <t>2R01/065</t>
  </si>
  <si>
    <t>ACC DEPRECIATION - RENO - BS</t>
  </si>
  <si>
    <t>2R01/070</t>
  </si>
  <si>
    <t>RENOVATION - HOLIDAY INN EXPRESS</t>
  </si>
  <si>
    <t>2R01/075</t>
  </si>
  <si>
    <t>ACC DEPN - RENO - HOLIDAY INN</t>
  </si>
  <si>
    <t>2R01/080</t>
  </si>
  <si>
    <t>RENOVATION - NAMLY PLACE</t>
  </si>
  <si>
    <t>2R01/085</t>
  </si>
  <si>
    <t>ACC DEPRECIATION - RENOVATION - NAMLY</t>
  </si>
  <si>
    <t>2R01/090</t>
  </si>
  <si>
    <t>RENOVATION - GREENWOOD</t>
  </si>
  <si>
    <t>2R01/095</t>
  </si>
  <si>
    <t>ACC DEPN-RENOVATION-GREENWOOD</t>
  </si>
  <si>
    <t>2R01/100</t>
  </si>
  <si>
    <t>RENOVATION - ENG KONG TER</t>
  </si>
  <si>
    <t>2R01/105</t>
  </si>
  <si>
    <t>ACC DEPN-RENOVATION-ENG KONG TER</t>
  </si>
  <si>
    <t>2R01/110</t>
  </si>
  <si>
    <t>RENOVATION - SERANGOON WAY</t>
  </si>
  <si>
    <t>2R01/115</t>
  </si>
  <si>
    <t>ACC DEPN-RENOVATION - SERANGOON WAY</t>
  </si>
  <si>
    <t>2R01/120</t>
  </si>
  <si>
    <t>RENOVATION - DEMPSEY</t>
  </si>
  <si>
    <t>2R01/125</t>
  </si>
  <si>
    <t>ACC DEPN-RENOVATION - DEMPSEY</t>
  </si>
  <si>
    <t>2R01/130</t>
  </si>
  <si>
    <t>RENOVATION - FABER DR</t>
  </si>
  <si>
    <t>2R01/135</t>
  </si>
  <si>
    <t>ACC DEPN-RENOVATION - FABER DR</t>
  </si>
  <si>
    <t>2R01/140</t>
  </si>
  <si>
    <t>RENOVATION - SOUTH BUONA VISTA</t>
  </si>
  <si>
    <t>2R01/145</t>
  </si>
  <si>
    <t>ACC DEPN-RENOVATION - SOUTH BUONA VISTA</t>
  </si>
  <si>
    <t>2S01/010</t>
  </si>
  <si>
    <t>SOFTWARE - HILLCREST</t>
  </si>
  <si>
    <t>2S01/015</t>
  </si>
  <si>
    <t>ACC DEPRECIATION - SOFTWARE - HC</t>
  </si>
  <si>
    <t>2S01/020</t>
  </si>
  <si>
    <t>SOFTWARE - CHIP BEE</t>
  </si>
  <si>
    <t>2S01/025</t>
  </si>
  <si>
    <t>ACC DEPRECIATION - SOFTWARE - CB</t>
  </si>
  <si>
    <t>2S01/030</t>
  </si>
  <si>
    <t>SOFTWARE - INTERCONTINENTAL</t>
  </si>
  <si>
    <t>2S01/035</t>
  </si>
  <si>
    <t>ACC DEPRECIATION - SOFTWARE - INTERCON</t>
  </si>
  <si>
    <t>2S01/040</t>
  </si>
  <si>
    <t>SOFTWARE - SWAN LAKE</t>
  </si>
  <si>
    <t>2S01/045</t>
  </si>
  <si>
    <t>ACC DEPRECIATION - SOFTWARE - SWAN LAKE</t>
  </si>
  <si>
    <t>2S01/050</t>
  </si>
  <si>
    <t>SOFTWARE - SUNSET WAY</t>
  </si>
  <si>
    <t>2S01/055</t>
  </si>
  <si>
    <t>ACC DEPN - SOFTWARE - SUNSET WAY</t>
  </si>
  <si>
    <t>2S01/060</t>
  </si>
  <si>
    <t>SOFTWARE - BAKING SCHOOL</t>
  </si>
  <si>
    <t>2S01/065</t>
  </si>
  <si>
    <t>ACC DEPN - SOFTWARE - BS</t>
  </si>
  <si>
    <t>2S01/080</t>
  </si>
  <si>
    <t>SOFTWARE - NAMLY PLACE</t>
  </si>
  <si>
    <t>2S01/085</t>
  </si>
  <si>
    <t>ACC DEPN - SOFTWARE - NAMLY</t>
  </si>
  <si>
    <t>2S01/090</t>
  </si>
  <si>
    <t>SOFTWARE - GREENWOOD</t>
  </si>
  <si>
    <t>2S01/095</t>
  </si>
  <si>
    <t>ACC DEPN - SOFTWARE - GREENWOOD</t>
  </si>
  <si>
    <t>2S01/100</t>
  </si>
  <si>
    <t>SOFTWARE - ENG KONG TER</t>
  </si>
  <si>
    <t>2S01/105</t>
  </si>
  <si>
    <t>ACC DEPN -SOFTWARE-ENG KONG</t>
  </si>
  <si>
    <t>2S01/110</t>
  </si>
  <si>
    <t>SOFTWARE - SERANGOON GDN WAY</t>
  </si>
  <si>
    <t>2S01/115</t>
  </si>
  <si>
    <t>ACC DEPN - SOFTWARE - SERANGOON GARDEN</t>
  </si>
  <si>
    <t>2S01/120</t>
  </si>
  <si>
    <t>SOFTWARE - DEMPSEY</t>
  </si>
  <si>
    <t>2S01/125</t>
  </si>
  <si>
    <t>ACC DEPN - SOFTWARE - DEM</t>
  </si>
  <si>
    <t>2S01/400</t>
  </si>
  <si>
    <t>SOFTWARE - FABER DR</t>
  </si>
  <si>
    <t>2S01/405</t>
  </si>
  <si>
    <t>ACC DEPN - SOFTWARE - FABER DR</t>
  </si>
  <si>
    <t>2S01/500</t>
  </si>
  <si>
    <t>SOFTWARE - SOUTH BUONA VISTA</t>
  </si>
  <si>
    <t>2S01/505</t>
  </si>
  <si>
    <t>ACC DEPRECIATION - SOFTWARE - SBV</t>
  </si>
  <si>
    <t>2T01/010</t>
  </si>
  <si>
    <t>TELEPHONE AND CABLING - HILLCREST</t>
  </si>
  <si>
    <t>2T01/015</t>
  </si>
  <si>
    <t>ACC DEPRECIATION - T&amp;C - HC</t>
  </si>
  <si>
    <t>3000/000</t>
  </si>
  <si>
    <t>TRADE DEBTORS</t>
  </si>
  <si>
    <t>3010/001</t>
  </si>
  <si>
    <t>PETTY CASH - HILLCREST</t>
  </si>
  <si>
    <t>3010/002</t>
  </si>
  <si>
    <t>PETTY CASH - CHIP BEE</t>
  </si>
  <si>
    <t>3010/003</t>
  </si>
  <si>
    <t>PETTY CASH - IC</t>
  </si>
  <si>
    <t>3010/004</t>
  </si>
  <si>
    <t>PETTY CASH - SWAN LAKE</t>
  </si>
  <si>
    <t>3010/005</t>
  </si>
  <si>
    <t>PETTY CASH - SUNSET WAY</t>
  </si>
  <si>
    <t>3010/007</t>
  </si>
  <si>
    <t>PETTY CASH - NAMLY</t>
  </si>
  <si>
    <t>3010/009</t>
  </si>
  <si>
    <t>PETTY CASH - MOJO</t>
  </si>
  <si>
    <t>3010/010</t>
  </si>
  <si>
    <t>PETTY CASH - ENG KONG</t>
  </si>
  <si>
    <t>3010/011</t>
  </si>
  <si>
    <t>PETTY CASH - SGW</t>
  </si>
  <si>
    <t>3010/012</t>
  </si>
  <si>
    <t>PETTY CASH - DEMPSEY</t>
  </si>
  <si>
    <t>3010/013</t>
  </si>
  <si>
    <t>SAFE CASH FLOAT</t>
  </si>
  <si>
    <t>3010/014</t>
  </si>
  <si>
    <t>PETTY CASH - FABER DRIVE</t>
  </si>
  <si>
    <t>3010/015</t>
  </si>
  <si>
    <t>PETTY CASH - HOT KITCHEN</t>
  </si>
  <si>
    <t>3010/016</t>
  </si>
  <si>
    <t>PETTY CASH-CENTRAL KITCHEN</t>
  </si>
  <si>
    <t>3010/017</t>
  </si>
  <si>
    <t>PETTY CASH-SOUTH BUONA VISTA</t>
  </si>
  <si>
    <t>3010/098</t>
  </si>
  <si>
    <t>SPARE CASH FLOAT</t>
  </si>
  <si>
    <t>3010/099</t>
  </si>
  <si>
    <t>CASH IN POS</t>
  </si>
  <si>
    <t>3010/101</t>
  </si>
  <si>
    <t>OCBC - SGD 641-102686-001</t>
  </si>
  <si>
    <t>3010/102</t>
  </si>
  <si>
    <t>SCB - SGD 0102 7994 23</t>
  </si>
  <si>
    <t>3010/103</t>
  </si>
  <si>
    <t>DBS - SGD 0720280067</t>
  </si>
  <si>
    <t>3010/104</t>
  </si>
  <si>
    <t>OCBC - SGD 687239491001</t>
  </si>
  <si>
    <t>3010/105</t>
  </si>
  <si>
    <t>PAYPAL ACCOUNT</t>
  </si>
  <si>
    <t>3010/106</t>
  </si>
  <si>
    <t>PAYPAL ACCOUNT - B&amp;C ORDER</t>
  </si>
  <si>
    <t>3010/107</t>
  </si>
  <si>
    <t>UOB - SGD 3493328601</t>
  </si>
  <si>
    <t>3020/001</t>
  </si>
  <si>
    <t>DEPOSIT</t>
  </si>
  <si>
    <t>3020/002</t>
  </si>
  <si>
    <t>PREPAYMENT</t>
  </si>
  <si>
    <t>3020/102</t>
  </si>
  <si>
    <t>AMOUNT OWING BY B&amp;C MSIA</t>
  </si>
  <si>
    <t>3020/201</t>
  </si>
  <si>
    <t>I-SWITCH DEPOSIT</t>
  </si>
  <si>
    <t>3020/202</t>
  </si>
  <si>
    <t>TENANCY DEPOSIT</t>
  </si>
  <si>
    <t>3020/203</t>
  </si>
  <si>
    <t>SP SERVICES - DEPOSIT</t>
  </si>
  <si>
    <t>3020/204</t>
  </si>
  <si>
    <t>SEMBCORP - DEPOSIT</t>
  </si>
  <si>
    <t>3031/001</t>
  </si>
  <si>
    <t>RIGHT OF USE - HILLCREST</t>
  </si>
  <si>
    <t>3031/002</t>
  </si>
  <si>
    <t>RIGHT OF USE - CHIP BEE</t>
  </si>
  <si>
    <t>3031/003</t>
  </si>
  <si>
    <t>RIGHT OF USE - INTERCON</t>
  </si>
  <si>
    <t>3031/004</t>
  </si>
  <si>
    <t>RIGHT OF USE - SWAN LAKE</t>
  </si>
  <si>
    <t>3031/005</t>
  </si>
  <si>
    <t>RIGHT OF USE - SUNSET WAY</t>
  </si>
  <si>
    <t>3031/006</t>
  </si>
  <si>
    <t>RIGHT OF USE - NAMLY PLACE</t>
  </si>
  <si>
    <t>3031/008</t>
  </si>
  <si>
    <t>RIGHT OF USE - BBCS</t>
  </si>
  <si>
    <t>3031/009</t>
  </si>
  <si>
    <t>RIGHT OF USE - GREENWOOD</t>
  </si>
  <si>
    <t>3031/010</t>
  </si>
  <si>
    <t>RIGHT OF USE - ENGKONG</t>
  </si>
  <si>
    <t>3031/011</t>
  </si>
  <si>
    <t>RIGHT OF USE - SERANGOON GARDEN</t>
  </si>
  <si>
    <t>3031/012</t>
  </si>
  <si>
    <t>RIGHT OF USE - DEMPSEY</t>
  </si>
  <si>
    <t>3031/098</t>
  </si>
  <si>
    <t>RIGHT OF USE - HQ</t>
  </si>
  <si>
    <t>3031/099</t>
  </si>
  <si>
    <t>RIGHT OF USE - VAN 1</t>
  </si>
  <si>
    <t>3060/000</t>
  </si>
  <si>
    <t>CLOSING STOCK</t>
  </si>
  <si>
    <t>3090/000</t>
  </si>
  <si>
    <t>GST INPUT TAX</t>
  </si>
  <si>
    <t>4000/000</t>
  </si>
  <si>
    <t>TRADE PAYABLES</t>
  </si>
  <si>
    <t>4010/001</t>
  </si>
  <si>
    <t>ACCRUAL</t>
  </si>
  <si>
    <t>4010/002</t>
  </si>
  <si>
    <t>CPF PAYABLES</t>
  </si>
  <si>
    <t>4010/004</t>
  </si>
  <si>
    <t>UNIFORM DEPOSIT HELD</t>
  </si>
  <si>
    <t>4011/001</t>
  </si>
  <si>
    <t>LEASE LIABILITY - HILLCREST</t>
  </si>
  <si>
    <t>4011/002</t>
  </si>
  <si>
    <t>LEASE LIABILITY - CHIP BEE</t>
  </si>
  <si>
    <t>4011/003</t>
  </si>
  <si>
    <t>LEASE LIABILITY - INTERCON</t>
  </si>
  <si>
    <t>4011/004</t>
  </si>
  <si>
    <t>LEASE LIABILITY - SWAN LAKE</t>
  </si>
  <si>
    <t>4011/005</t>
  </si>
  <si>
    <t>LEASE LIABILITY - SUNSET WAY</t>
  </si>
  <si>
    <t>4011/006</t>
  </si>
  <si>
    <t>LEASE LIABILITY - NAMLY</t>
  </si>
  <si>
    <t>4011/008</t>
  </si>
  <si>
    <t>LEASE LIABILITY - BBCS</t>
  </si>
  <si>
    <t>4011/009</t>
  </si>
  <si>
    <t>LEASE LIABILITY - GREENWOOD</t>
  </si>
  <si>
    <t>4011/010</t>
  </si>
  <si>
    <t>LEASE LIABILITY - ENGKONG</t>
  </si>
  <si>
    <t>4011/011</t>
  </si>
  <si>
    <t>LEASE LIABILITY - SERANGOON</t>
  </si>
  <si>
    <t>4011/012</t>
  </si>
  <si>
    <t>LEASE LIABILITY - DEMPSEY</t>
  </si>
  <si>
    <t>4011/098</t>
  </si>
  <si>
    <t>LEASE LIABILITY - HQ</t>
  </si>
  <si>
    <t>4011/099</t>
  </si>
  <si>
    <t>LEASE LIABILITY - VAN</t>
  </si>
  <si>
    <t>4012/000</t>
  </si>
  <si>
    <t>DBS BRIDGING LOAN</t>
  </si>
  <si>
    <t>4050/009</t>
  </si>
  <si>
    <t>PAYROLL CONTROL - SEPT'20</t>
  </si>
  <si>
    <t>4050/010</t>
  </si>
  <si>
    <t>PAYROLL CONTROL - OCT'20</t>
  </si>
  <si>
    <t>4050/011</t>
  </si>
  <si>
    <t>PAYROLL CONTROL - NOV'20</t>
  </si>
  <si>
    <t>4070/001</t>
  </si>
  <si>
    <t>DEPOSIT RECEIVED FOR BAKING CLASS</t>
  </si>
  <si>
    <t>4080/000</t>
  </si>
  <si>
    <t>PROVISION FOR TAXATION</t>
  </si>
  <si>
    <t>4090/000</t>
  </si>
  <si>
    <t>GST OUTPUT TAX</t>
  </si>
  <si>
    <t>4100/000</t>
  </si>
  <si>
    <t>GST CONTROL ACCOUNT</t>
  </si>
  <si>
    <t>4200/000</t>
  </si>
  <si>
    <t>DEFERRED TAXATION</t>
  </si>
  <si>
    <t>4300/000</t>
  </si>
  <si>
    <t>SUSPENSE ACCOUNT</t>
  </si>
  <si>
    <t>5010/001</t>
  </si>
  <si>
    <t>HILLCREST SALES</t>
  </si>
  <si>
    <t>5010/002</t>
  </si>
  <si>
    <t>CHIP BEE SALES</t>
  </si>
  <si>
    <t>5010/003</t>
  </si>
  <si>
    <t>INTERCONTINENTAL SALES</t>
  </si>
  <si>
    <t>5010/004</t>
  </si>
  <si>
    <t>SWAN LAKE SALES</t>
  </si>
  <si>
    <t>5010/005</t>
  </si>
  <si>
    <t>SUNSET WAY SALES</t>
  </si>
  <si>
    <t>5010/008</t>
  </si>
  <si>
    <t>NAMLY PLACE - SALES</t>
  </si>
  <si>
    <t>5010/009</t>
  </si>
  <si>
    <t>MO &amp; JO - SALES</t>
  </si>
  <si>
    <t>5010/010</t>
  </si>
  <si>
    <t>ENG KONG TERRACE - SALES</t>
  </si>
  <si>
    <t>5010/011</t>
  </si>
  <si>
    <t>SERANGOON GARDEN WAY - SALES</t>
  </si>
  <si>
    <t>5010/012</t>
  </si>
  <si>
    <t>DEMPSEY - SALES</t>
  </si>
  <si>
    <t>5010/013</t>
  </si>
  <si>
    <t>FABER DR - SALES</t>
  </si>
  <si>
    <t>5010/014</t>
  </si>
  <si>
    <t>SOUTH BUONA VISTA - SALES</t>
  </si>
  <si>
    <t>5010/099</t>
  </si>
  <si>
    <t>SALES - CATERING ORDER</t>
  </si>
  <si>
    <t>5010/100</t>
  </si>
  <si>
    <t>BAKING AND COOKING SCHOOL SALES</t>
  </si>
  <si>
    <t>5010/101</t>
  </si>
  <si>
    <t>BAKING CLASS &amp; EVENT</t>
  </si>
  <si>
    <t>5010/902</t>
  </si>
  <si>
    <t>INTERNATIONAL - KSA</t>
  </si>
  <si>
    <t>5100/000</t>
  </si>
  <si>
    <t>OTHER INCOME</t>
  </si>
  <si>
    <t>5100/001</t>
  </si>
  <si>
    <t>ROYALTY INCOME - SWISS BAKE</t>
  </si>
  <si>
    <t>5100/002</t>
  </si>
  <si>
    <t>RENTAL REBATE</t>
  </si>
  <si>
    <t>5100/003</t>
  </si>
  <si>
    <t>ROYALTY INCOME - KOKUBU</t>
  </si>
  <si>
    <t>5100/004</t>
  </si>
  <si>
    <t>ROYALTY INCOME - COMMONWEALTH CULINARY</t>
  </si>
  <si>
    <t>5300/000</t>
  </si>
  <si>
    <t>RENTAL INCOME</t>
  </si>
  <si>
    <t>6010/101</t>
  </si>
  <si>
    <t>INGREDIENT - BOH</t>
  </si>
  <si>
    <t>6010/102</t>
  </si>
  <si>
    <t>INGREDIENT - HILLCREST</t>
  </si>
  <si>
    <t>6010/103</t>
  </si>
  <si>
    <t>INGREDIENT - CHIP BEE</t>
  </si>
  <si>
    <t>6010/104</t>
  </si>
  <si>
    <t>INGREDIENT - INTERCONTINENTAL</t>
  </si>
  <si>
    <t>6010/105</t>
  </si>
  <si>
    <t>INGREDIENT - SWAN LAKE</t>
  </si>
  <si>
    <t>6010/106</t>
  </si>
  <si>
    <t>INGREDIENT - SUNSET WAY</t>
  </si>
  <si>
    <t>6010/107</t>
  </si>
  <si>
    <t>INGREDIENT - BAKING SCHOOL</t>
  </si>
  <si>
    <t>6010/109</t>
  </si>
  <si>
    <t>INGREDIENT - NAMLY PLACE</t>
  </si>
  <si>
    <t>6010/110</t>
  </si>
  <si>
    <t>INGREDIENT - MOJO</t>
  </si>
  <si>
    <t>6010/111</t>
  </si>
  <si>
    <t>INGREDIENT - SERANGOON</t>
  </si>
  <si>
    <t>6010/112</t>
  </si>
  <si>
    <t>INGREDIENT - ENG KONG</t>
  </si>
  <si>
    <t>6010/113</t>
  </si>
  <si>
    <t>INGREDIENT - DEMPSEY</t>
  </si>
  <si>
    <t>6010/114</t>
  </si>
  <si>
    <t>INGREDIENT - FABER DR</t>
  </si>
  <si>
    <t>6010/115</t>
  </si>
  <si>
    <t>INGREDIENT - SOUTH BUONA VISTA</t>
  </si>
  <si>
    <t>6010/201</t>
  </si>
  <si>
    <t>WINE&amp;BEVERAGES - HILLCREST</t>
  </si>
  <si>
    <t>6010/202</t>
  </si>
  <si>
    <t>WINE&amp;BEVERAGES - CHIP BEE</t>
  </si>
  <si>
    <t>6010/203</t>
  </si>
  <si>
    <t>WINE&amp;BEVERAGES - SWAN LAKE</t>
  </si>
  <si>
    <t>6010/204</t>
  </si>
  <si>
    <t>WINE&amp;BEVERAGES - INTERCONTINENTAL</t>
  </si>
  <si>
    <t>6010/205</t>
  </si>
  <si>
    <t>WINE&amp;BEVERAGES - SUNSET WAY</t>
  </si>
  <si>
    <t>6010/206</t>
  </si>
  <si>
    <t>WINE&amp;BEVERAGES - BAKING SCHOOL</t>
  </si>
  <si>
    <t>6010/207</t>
  </si>
  <si>
    <t>WINE&amp;BEVERAGES - NAMLY PLACE</t>
  </si>
  <si>
    <t>6010/209</t>
  </si>
  <si>
    <t>WINES&amp;BEVERAGES - SHARE</t>
  </si>
  <si>
    <t>6010/210</t>
  </si>
  <si>
    <t>WINE&amp;BEVERAGES - MOJO</t>
  </si>
  <si>
    <t>6010/211</t>
  </si>
  <si>
    <t>WINE&amp;BEVERAGES - ENG KONG</t>
  </si>
  <si>
    <t>6010/212</t>
  </si>
  <si>
    <t>WINE&amp;BEVERAGES - SERANGOON</t>
  </si>
  <si>
    <t>6010/213</t>
  </si>
  <si>
    <t>WINE&amp;BEVERAGES - DEMPSEY</t>
  </si>
  <si>
    <t>6010/214</t>
  </si>
  <si>
    <t>WINE&amp;BEVERAGES - FABER DR</t>
  </si>
  <si>
    <t>6010/215</t>
  </si>
  <si>
    <t>WINE&amp;BEVERAGES - SOUTH BUONA VISTA</t>
  </si>
  <si>
    <t>6010/300</t>
  </si>
  <si>
    <t>OTHER CONSUMABLE ITEM</t>
  </si>
  <si>
    <t>6010/301</t>
  </si>
  <si>
    <t>OTHER CONSUMABLE ITEM - HILLCREST</t>
  </si>
  <si>
    <t>6010/302</t>
  </si>
  <si>
    <t>OTHER CONSUMABLE ITEM - CHIP BEE</t>
  </si>
  <si>
    <t>6010/303</t>
  </si>
  <si>
    <t>OTHER CONSUMABLE ITEM - SWAN LAKE</t>
  </si>
  <si>
    <t>6010/306</t>
  </si>
  <si>
    <t>OTHER CONSUMABLE ITEM - SUNSET WAY</t>
  </si>
  <si>
    <t>6010/307</t>
  </si>
  <si>
    <t>OTHER CONSUMABLE ITEM - SCHOOL</t>
  </si>
  <si>
    <t>6010/308</t>
  </si>
  <si>
    <t>OTHER CONSUMABLE ITEM - NAMLY PLACE</t>
  </si>
  <si>
    <t>6010/309</t>
  </si>
  <si>
    <t>OTHER CONSUMABLE ITEM - GREENWOOD</t>
  </si>
  <si>
    <t>6010/310</t>
  </si>
  <si>
    <t>OTHER CONSUMABLE ITEM - ENG KONG</t>
  </si>
  <si>
    <t>6010/311</t>
  </si>
  <si>
    <t>OTHER CONSUMABLE ITEM - SERANGON</t>
  </si>
  <si>
    <t>6010/312</t>
  </si>
  <si>
    <t>OTHER CONSUMABLE ITEM - DEMPSEY</t>
  </si>
  <si>
    <t>6010/313</t>
  </si>
  <si>
    <t>OTHER CONSUMABLE ITEM - FABER DR</t>
  </si>
  <si>
    <t>6010/314</t>
  </si>
  <si>
    <t>OTHER CONSUMABLE ITEM - SBV</t>
  </si>
  <si>
    <t>6010/401</t>
  </si>
  <si>
    <t>ALLPRESS COFFEE - HILLCREST</t>
  </si>
  <si>
    <t>6010/402</t>
  </si>
  <si>
    <t>ALLPRESS COFFEE - CHIP BEE</t>
  </si>
  <si>
    <t>6010/403</t>
  </si>
  <si>
    <t>ALLPRESS COFFEE - INTERCONTINENTAL</t>
  </si>
  <si>
    <t>6010/404</t>
  </si>
  <si>
    <t>ALLPRESS COFFEE - SWAN LAKE</t>
  </si>
  <si>
    <t>6010/405</t>
  </si>
  <si>
    <t>ALLPRESS - SUNSET WAY</t>
  </si>
  <si>
    <t>6010/407</t>
  </si>
  <si>
    <t>ALLPRESS - NAMLY PLACE</t>
  </si>
  <si>
    <t>6010/409</t>
  </si>
  <si>
    <t>ALLPRESS - ENG KONG</t>
  </si>
  <si>
    <t>6010/410</t>
  </si>
  <si>
    <t>ALLPRESS - SERANGOON</t>
  </si>
  <si>
    <t>6010/411</t>
  </si>
  <si>
    <t>ALLPRESS - DEMPSEY</t>
  </si>
  <si>
    <t>6010/412</t>
  </si>
  <si>
    <t>ALLPRESS - FABER DR</t>
  </si>
  <si>
    <t>6010/413</t>
  </si>
  <si>
    <t>ALLPRESS - SOUTH BUONA VISTA</t>
  </si>
  <si>
    <t>6010/500</t>
  </si>
  <si>
    <t>PACKAGING</t>
  </si>
  <si>
    <t>6010/509</t>
  </si>
  <si>
    <t>PACKAGING - MO &amp; JO</t>
  </si>
  <si>
    <t>6010/601</t>
  </si>
  <si>
    <t>FREIGHT CHARGES TO OTHER PLACE</t>
  </si>
  <si>
    <t>6010/701</t>
  </si>
  <si>
    <t>BOOKS,DVD AND CUPS</t>
  </si>
  <si>
    <t>6010/801</t>
  </si>
  <si>
    <t>BAKING CLASS FEE</t>
  </si>
  <si>
    <t>7000/000</t>
  </si>
  <si>
    <t>DIVIDEND PAID</t>
  </si>
  <si>
    <t>9A02/000</t>
  </si>
  <si>
    <t>ADVERTISEMENT&amp;DESIGN</t>
  </si>
  <si>
    <t>9B01/000</t>
  </si>
  <si>
    <t>BANK CHARGES</t>
  </si>
  <si>
    <t>9B04/001</t>
  </si>
  <si>
    <t>PAYPAL CHARGES - SCHOOL</t>
  </si>
  <si>
    <t>9B04/002</t>
  </si>
  <si>
    <t>PAYPAL CHARGES - B&amp;C ORDER</t>
  </si>
  <si>
    <t>9C01/001</t>
  </si>
  <si>
    <t>CREDIT CARD COMMISSION - HC</t>
  </si>
  <si>
    <t>9C01/002</t>
  </si>
  <si>
    <t>CREDIT CARD COMMISSION - CBG</t>
  </si>
  <si>
    <t>9C01/003</t>
  </si>
  <si>
    <t>CREDIT CARD COMMISSION - IC</t>
  </si>
  <si>
    <t>9C01/004</t>
  </si>
  <si>
    <t>CREDIT CARD COMMISSION - SL</t>
  </si>
  <si>
    <t>9C01/005</t>
  </si>
  <si>
    <t>CREDIT CARD COMMISSION - SW</t>
  </si>
  <si>
    <t>9C01/007</t>
  </si>
  <si>
    <t>CREDIT CARD COMMISSION - NP</t>
  </si>
  <si>
    <t>9C01/008</t>
  </si>
  <si>
    <t>CREDIT CARD COMMISSION - BCS</t>
  </si>
  <si>
    <t>9C01/009</t>
  </si>
  <si>
    <t>CREDIT CARD COMMISSION - MO &amp; JO</t>
  </si>
  <si>
    <t>9C01/010</t>
  </si>
  <si>
    <t>CREDIT CARD COMMISSION - EKT</t>
  </si>
  <si>
    <t>9C01/011</t>
  </si>
  <si>
    <t>CREDIT CARD COMMISSION - SGW</t>
  </si>
  <si>
    <t>9C01/012</t>
  </si>
  <si>
    <t>CREDIT CARD COMMISSION - DEM</t>
  </si>
  <si>
    <t>9C01/013</t>
  </si>
  <si>
    <t>CREDIT CARD COMMISSION - FABER DR</t>
  </si>
  <si>
    <t>9C01/014</t>
  </si>
  <si>
    <t>CREDIT CARD COMMISSION - SBV</t>
  </si>
  <si>
    <t>9C03/001</t>
  </si>
  <si>
    <t>CLEANING CONTRACTOR - HC</t>
  </si>
  <si>
    <t>9C03/002</t>
  </si>
  <si>
    <t>CLEANING CONTRACTOR - CB</t>
  </si>
  <si>
    <t>9C03/004</t>
  </si>
  <si>
    <t>CLEANING CONTRACTOR - SL</t>
  </si>
  <si>
    <t>9C03/007</t>
  </si>
  <si>
    <t>CLEANING CONTRACTOR - NP</t>
  </si>
  <si>
    <t>9C03/008</t>
  </si>
  <si>
    <t>CLEANING CONTRACTOR - BS</t>
  </si>
  <si>
    <t>9C03/010</t>
  </si>
  <si>
    <t>CLEANING CONTRACTOR - EKT</t>
  </si>
  <si>
    <t>9C03/011</t>
  </si>
  <si>
    <t>CLEANING CONTRACTOR - SGW</t>
  </si>
  <si>
    <t>9C03/012</t>
  </si>
  <si>
    <t>CLEANING CONTRACTOR - DEM</t>
  </si>
  <si>
    <t>9C03/013</t>
  </si>
  <si>
    <t>CLEANING CONTRACTOR - FABER DR</t>
  </si>
  <si>
    <t>9C03/014</t>
  </si>
  <si>
    <t>CLEANING CONTRACTOR - CC KITCHEN</t>
  </si>
  <si>
    <t>9C03/015</t>
  </si>
  <si>
    <t>CLEANING CONTRACTOR - SBV</t>
  </si>
  <si>
    <t>9C06/000</t>
  </si>
  <si>
    <t>COMMISSION - DELIVERY CO</t>
  </si>
  <si>
    <t>9C06/001</t>
  </si>
  <si>
    <t>COMMISSION - DELIVERY CO - SL</t>
  </si>
  <si>
    <t>9C06/002</t>
  </si>
  <si>
    <t>COMMISSION - DELIVERY CO - NP</t>
  </si>
  <si>
    <t>9C06/003</t>
  </si>
  <si>
    <t>COMMISSION - DELIVERY CO - SW</t>
  </si>
  <si>
    <t>9C06/004</t>
  </si>
  <si>
    <t>COMMISSION - DELIVERY CO - HC</t>
  </si>
  <si>
    <t>9C06/005</t>
  </si>
  <si>
    <t>COMMISSION - DELIVERY CO - IC</t>
  </si>
  <si>
    <t>9C06/006</t>
  </si>
  <si>
    <t>COMMISSION - DELIVERY CO - MJ</t>
  </si>
  <si>
    <t>9C06/007</t>
  </si>
  <si>
    <t>COMMISSION - DELIVERY CO - ENGKONG</t>
  </si>
  <si>
    <t>9C06/008</t>
  </si>
  <si>
    <t>COMMISSION - DELIVERY CO - SERANGOON</t>
  </si>
  <si>
    <t>9C06/009</t>
  </si>
  <si>
    <t>COMMISSION - DELIVERY CO - CHIP BEE</t>
  </si>
  <si>
    <t>9C06/010</t>
  </si>
  <si>
    <t>COMMISSION - DELIVERY CO - DEMPSEY</t>
  </si>
  <si>
    <t>9C06/011</t>
  </si>
  <si>
    <t>COMMISSION - DELIVERY CO - FABER DR</t>
  </si>
  <si>
    <t>9C06/099</t>
  </si>
  <si>
    <t>DELIVERY CHARGES - CATERSPOT</t>
  </si>
  <si>
    <t>9D01/000</t>
  </si>
  <si>
    <t>DIRECTORS REMUNERATION</t>
  </si>
  <si>
    <t>9D01/001</t>
  </si>
  <si>
    <t>DIRECTOR SALARY</t>
  </si>
  <si>
    <t>9D01/002</t>
  </si>
  <si>
    <t>DIRECTOR CPF</t>
  </si>
  <si>
    <t>9D02/000</t>
  </si>
  <si>
    <t>DEPRECIATION</t>
  </si>
  <si>
    <t>9D02/001</t>
  </si>
  <si>
    <t>DEPRECIATION - HILLCREST</t>
  </si>
  <si>
    <t>9D02/002</t>
  </si>
  <si>
    <t>DEPRECIATION - CHIP BEE</t>
  </si>
  <si>
    <t>9D02/003</t>
  </si>
  <si>
    <t>DEPRECIATION - INTERCON</t>
  </si>
  <si>
    <t>9D02/004</t>
  </si>
  <si>
    <t>DEPRECIATION - SWAN LAKE</t>
  </si>
  <si>
    <t>9D02/005</t>
  </si>
  <si>
    <t>DEPRECIATION - SUNSET WAY</t>
  </si>
  <si>
    <t>9D02/006</t>
  </si>
  <si>
    <t>DEPRECIATION - BAKING SCHOOL</t>
  </si>
  <si>
    <t>9D02/007</t>
  </si>
  <si>
    <t>DEPRECIATION - HOLIDAY INN</t>
  </si>
  <si>
    <t>9D02/008</t>
  </si>
  <si>
    <t>DEPRECIATION - NAMLY</t>
  </si>
  <si>
    <t>9D02/009</t>
  </si>
  <si>
    <t>DEPRECIATION - GREENWOOD</t>
  </si>
  <si>
    <t>9D02/010</t>
  </si>
  <si>
    <t>DEPRECIATION - ENG KONG</t>
  </si>
  <si>
    <t>9D02/011</t>
  </si>
  <si>
    <t>DEPRECIATION - SERANGOON GARDEN</t>
  </si>
  <si>
    <t>9D02/012</t>
  </si>
  <si>
    <t>DEPRECIATION - DEMPSEY</t>
  </si>
  <si>
    <t>9D02/013</t>
  </si>
  <si>
    <t>DEPRECIATION - FABER DR</t>
  </si>
  <si>
    <t>9D02/014</t>
  </si>
  <si>
    <t>DEPRECIATION - SBV</t>
  </si>
  <si>
    <t>9D03/000</t>
  </si>
  <si>
    <t>DONATION</t>
  </si>
  <si>
    <t>9E01/000</t>
  </si>
  <si>
    <t>ENTERTAINMENT</t>
  </si>
  <si>
    <t>9I01/000</t>
  </si>
  <si>
    <t>INSURANCE</t>
  </si>
  <si>
    <t>9I02/000</t>
  </si>
  <si>
    <t>IT &amp; WEBPAGE EXPENSES</t>
  </si>
  <si>
    <t>9I04/001</t>
  </si>
  <si>
    <t>LOAN INTEREST</t>
  </si>
  <si>
    <t>9L01/000</t>
  </si>
  <si>
    <t>LEGAL AND PROFESSIONAL FEE</t>
  </si>
  <si>
    <t>9L02/000</t>
  </si>
  <si>
    <t>LICENSE</t>
  </si>
  <si>
    <t>9L03/000</t>
  </si>
  <si>
    <t>TRADEMARK LICENSE FEE</t>
  </si>
  <si>
    <t>9M02/000</t>
  </si>
  <si>
    <t>MEDICAL FEE</t>
  </si>
  <si>
    <t>9N01/000</t>
  </si>
  <si>
    <t>NETS TRANSACTION CHARGES</t>
  </si>
  <si>
    <t>9O02/000</t>
  </si>
  <si>
    <t>OPENING CEREMONY COST</t>
  </si>
  <si>
    <t>9P01/001</t>
  </si>
  <si>
    <t>HC - ELECTRICITY</t>
  </si>
  <si>
    <t>9P01/002</t>
  </si>
  <si>
    <t>CB - ELECTRICITY</t>
  </si>
  <si>
    <t>9P01/004</t>
  </si>
  <si>
    <t>SL - ELECTRICITY</t>
  </si>
  <si>
    <t>9P01/005</t>
  </si>
  <si>
    <t>SW - ELECTRICITY</t>
  </si>
  <si>
    <t>9P01/007</t>
  </si>
  <si>
    <t>NP - ELECTRICITY</t>
  </si>
  <si>
    <t>9P01/008</t>
  </si>
  <si>
    <t>BS - ELECTRICITY</t>
  </si>
  <si>
    <t>9P01/009</t>
  </si>
  <si>
    <t>GREENWOOD-ELETRICITY</t>
  </si>
  <si>
    <t>9P01/010</t>
  </si>
  <si>
    <t>ENG KONG - ELETRICITY</t>
  </si>
  <si>
    <t>9P01/011</t>
  </si>
  <si>
    <t>SERANGOON - ELECTRICITY</t>
  </si>
  <si>
    <t>9P01/012</t>
  </si>
  <si>
    <t>DEMPSEY - ELECTRICITY</t>
  </si>
  <si>
    <t>9P01/013</t>
  </si>
  <si>
    <t>FABER DR - ELECTRICITY</t>
  </si>
  <si>
    <t>9P01/014</t>
  </si>
  <si>
    <t>CENTRAL KITCHEN - ELECTRICITY</t>
  </si>
  <si>
    <t>9P01/015</t>
  </si>
  <si>
    <t>SOUTH BUONA VISTA - ELECTRICITY</t>
  </si>
  <si>
    <t>9P01/104</t>
  </si>
  <si>
    <t>POWER - SL GAS</t>
  </si>
  <si>
    <t>9P01/106</t>
  </si>
  <si>
    <t>POWER - NP GAS</t>
  </si>
  <si>
    <t>9P01/109</t>
  </si>
  <si>
    <t>POWER - GREENWOOD GAS</t>
  </si>
  <si>
    <t>9P01/110</t>
  </si>
  <si>
    <t>POWER - ENG KONG GAS</t>
  </si>
  <si>
    <t>9P01/111</t>
  </si>
  <si>
    <t>POWER - SERANGOON GAS</t>
  </si>
  <si>
    <t>9P01/112</t>
  </si>
  <si>
    <t>POWER - DEMPSEY GAS</t>
  </si>
  <si>
    <t>9P01/113</t>
  </si>
  <si>
    <t>POWER - FABER DR - GAS</t>
  </si>
  <si>
    <t>9P01/114</t>
  </si>
  <si>
    <t>POWER - SBV - GAS</t>
  </si>
  <si>
    <t>9P02/001</t>
  </si>
  <si>
    <t>PEST CONTROL FEE - HC</t>
  </si>
  <si>
    <t>9P02/002</t>
  </si>
  <si>
    <t>PEST CONTROL FEE - CB</t>
  </si>
  <si>
    <t>9P02/003</t>
  </si>
  <si>
    <t>PEST CONTROL FEE - IC</t>
  </si>
  <si>
    <t>9P02/004</t>
  </si>
  <si>
    <t>PEST CONTROL FEE - SL</t>
  </si>
  <si>
    <t>9P02/005</t>
  </si>
  <si>
    <t>PEST CONTROL FEE - SW</t>
  </si>
  <si>
    <t>9P02/007</t>
  </si>
  <si>
    <t>PEST CONTROL FEE - NP</t>
  </si>
  <si>
    <t>9P02/008</t>
  </si>
  <si>
    <t>PEST CONTROL FEE - BS</t>
  </si>
  <si>
    <t>9P02/009</t>
  </si>
  <si>
    <t>PEST CONTROL FEE - MOJO</t>
  </si>
  <si>
    <t>9P02/010</t>
  </si>
  <si>
    <t>PEST CONTROL FEE - EKT</t>
  </si>
  <si>
    <t>9P02/011</t>
  </si>
  <si>
    <t>PEST CONTROL FEE - SGW</t>
  </si>
  <si>
    <t>9P02/012</t>
  </si>
  <si>
    <t>PEST CONTROL FEE - DEM</t>
  </si>
  <si>
    <t>9P02/013</t>
  </si>
  <si>
    <t>PEST CONTROL FEE - FABER DR</t>
  </si>
  <si>
    <t>9P02/014</t>
  </si>
  <si>
    <t>PEST CONTROL FEE - CENTRAL KITCHEN</t>
  </si>
  <si>
    <t>9P02/015</t>
  </si>
  <si>
    <t>PEST CONTROL FEE - SBV</t>
  </si>
  <si>
    <t>9P03/001</t>
  </si>
  <si>
    <t>PRINTING COST</t>
  </si>
  <si>
    <t>9P04/001</t>
  </si>
  <si>
    <t>PENALTY</t>
  </si>
  <si>
    <t>9P05/001</t>
  </si>
  <si>
    <t>PR SERVICE &amp; RELATED FEE</t>
  </si>
  <si>
    <t>9P06/001</t>
  </si>
  <si>
    <t>POS SYSTEM FEE - HC</t>
  </si>
  <si>
    <t>9P06/002</t>
  </si>
  <si>
    <t>POS SYSTEM FEE - CB</t>
  </si>
  <si>
    <t>9P06/003</t>
  </si>
  <si>
    <t>POS SYSTEM FEE - IC</t>
  </si>
  <si>
    <t>9P06/004</t>
  </si>
  <si>
    <t>POS SYSTEM FEE - SL</t>
  </si>
  <si>
    <t>9P06/005</t>
  </si>
  <si>
    <t>POS SYSTEM FEE - SW</t>
  </si>
  <si>
    <t>9P06/006</t>
  </si>
  <si>
    <t>POS SYSTEM FEE - NP</t>
  </si>
  <si>
    <t>9P06/009</t>
  </si>
  <si>
    <t>POS SYSTEM FEE - MOJO</t>
  </si>
  <si>
    <t>9P06/010</t>
  </si>
  <si>
    <t>POS SYSTEM FEE - ENG KONG</t>
  </si>
  <si>
    <t>9P06/011</t>
  </si>
  <si>
    <t>POS SYSTEM FEE - SERANGOON</t>
  </si>
  <si>
    <t>9P06/012</t>
  </si>
  <si>
    <t>POS SYSTEM FEE - DEMPSEY</t>
  </si>
  <si>
    <t>9P06/013</t>
  </si>
  <si>
    <t>POS SYSTEM FEE - FD</t>
  </si>
  <si>
    <t>9P06/014</t>
  </si>
  <si>
    <t>POS SYSTEM FEE - SBV</t>
  </si>
  <si>
    <t>9P07/001</t>
  </si>
  <si>
    <t>PAYROLL SYSTEM FEE</t>
  </si>
  <si>
    <t>9R01/001</t>
  </si>
  <si>
    <t>RUBBISH REMOVAL - HC</t>
  </si>
  <si>
    <t>9R01/002</t>
  </si>
  <si>
    <t>RUBBISH REMOVAL - CB</t>
  </si>
  <si>
    <t>9R01/004</t>
  </si>
  <si>
    <t>RUBBISH REMOVAL - SL</t>
  </si>
  <si>
    <t>9R01/007</t>
  </si>
  <si>
    <t>RUBBISH REMOVAL - NP</t>
  </si>
  <si>
    <t>9R01/008</t>
  </si>
  <si>
    <t>RUBBISH REMOVAL - BS</t>
  </si>
  <si>
    <t>9R01/009</t>
  </si>
  <si>
    <t>RUBBISH REMOVAL - MOJO</t>
  </si>
  <si>
    <t>9R01/010</t>
  </si>
  <si>
    <t>RUBBISH REMOVAL - EKT</t>
  </si>
  <si>
    <t>9R01/011</t>
  </si>
  <si>
    <t>RUBBISH REMOVAL - SGW</t>
  </si>
  <si>
    <t>9R01/012</t>
  </si>
  <si>
    <t>RUBBISH REMOVAL - DEM</t>
  </si>
  <si>
    <t>9R01/013</t>
  </si>
  <si>
    <t>RUBBISH REMOVAL - FABER DR</t>
  </si>
  <si>
    <t>9R01/014</t>
  </si>
  <si>
    <t>RUBBISH REMOVAL - SBV</t>
  </si>
  <si>
    <t>9R02/001</t>
  </si>
  <si>
    <t>REPAIR &amp; MAINT - BOH</t>
  </si>
  <si>
    <t>9R02/002</t>
  </si>
  <si>
    <t>REPAIR &amp; MAINT - HC</t>
  </si>
  <si>
    <t>9R02/003</t>
  </si>
  <si>
    <t>REPAIR &amp; MAINT - CBG</t>
  </si>
  <si>
    <t>9R02/004</t>
  </si>
  <si>
    <t>REPAIR &amp; MAINT - IC</t>
  </si>
  <si>
    <t>9R02/005</t>
  </si>
  <si>
    <t>REPAIR &amp; MAINT - SL</t>
  </si>
  <si>
    <t>9R02/006</t>
  </si>
  <si>
    <t>REPAIR &amp; MAINT - SW</t>
  </si>
  <si>
    <t>9R02/007</t>
  </si>
  <si>
    <t>REPAIR &amp; MAINT - BS</t>
  </si>
  <si>
    <t>9R02/009</t>
  </si>
  <si>
    <t>REPAIR &amp; MAINT - NP</t>
  </si>
  <si>
    <t>9R02/010</t>
  </si>
  <si>
    <t>REPAIR &amp; MAINT - MOJO</t>
  </si>
  <si>
    <t>9R02/011</t>
  </si>
  <si>
    <t>REPAIR &amp; MAINT - ENG KONG</t>
  </si>
  <si>
    <t>9R02/012</t>
  </si>
  <si>
    <t>REPAIR &amp; MAINT - SGW</t>
  </si>
  <si>
    <t>9R02/013</t>
  </si>
  <si>
    <t>REPAIR &amp; MAINT - DEMP</t>
  </si>
  <si>
    <t>9R02/014</t>
  </si>
  <si>
    <t>REPAIR &amp; MAINT - FABER</t>
  </si>
  <si>
    <t>9R02/015</t>
  </si>
  <si>
    <t>REPAIR&amp;MAINT - CENTRAL KITCHEN</t>
  </si>
  <si>
    <t>9R02/016</t>
  </si>
  <si>
    <t>REPAIR&amp;MAINT - SBV</t>
  </si>
  <si>
    <t>9R03/001</t>
  </si>
  <si>
    <t>HILLCREST RENTAL</t>
  </si>
  <si>
    <t>9R03/002</t>
  </si>
  <si>
    <t>COMMONWEALTH RENTAL</t>
  </si>
  <si>
    <t>9R03/004</t>
  </si>
  <si>
    <t>CHIP BEE RENTAL</t>
  </si>
  <si>
    <t>9R03/005</t>
  </si>
  <si>
    <t>INTERCONTINENTAL RENTAL</t>
  </si>
  <si>
    <t>9R03/006</t>
  </si>
  <si>
    <t>SWAN LAKE RENTAL</t>
  </si>
  <si>
    <t>9R03/007</t>
  </si>
  <si>
    <t>SUNSET WAY RENTAL</t>
  </si>
  <si>
    <t>9R03/008</t>
  </si>
  <si>
    <t>BAKING SCHOOL - RENTAL</t>
  </si>
  <si>
    <t>9R03/010</t>
  </si>
  <si>
    <t>1A GREENDALE - RENTAL</t>
  </si>
  <si>
    <t>9R03/011</t>
  </si>
  <si>
    <t>NAMLY PLACE - RENTAL</t>
  </si>
  <si>
    <t>9R03/012</t>
  </si>
  <si>
    <t>8 GREENWOOD-RENTAL</t>
  </si>
  <si>
    <t>9R03/013</t>
  </si>
  <si>
    <t>ENG KONG TERR-RENTAL</t>
  </si>
  <si>
    <t>9R03/014</t>
  </si>
  <si>
    <t>SERANGOON GARDEN - RENTAL</t>
  </si>
  <si>
    <t>9R03/015</t>
  </si>
  <si>
    <t>DEMPSEY - RENTAL</t>
  </si>
  <si>
    <t>9R03/016</t>
  </si>
  <si>
    <t>FABER DR - RENTAL</t>
  </si>
  <si>
    <t>9R03/017</t>
  </si>
  <si>
    <t>SOUTH BUONA VISTA - RENTAL</t>
  </si>
  <si>
    <t>9R04/000</t>
  </si>
  <si>
    <t>CAR RENTAL</t>
  </si>
  <si>
    <t>9S01/000</t>
  </si>
  <si>
    <t>FOREIGN WORKER LEVY</t>
  </si>
  <si>
    <t>9S02/000</t>
  </si>
  <si>
    <t>EMPLOYER CPF</t>
  </si>
  <si>
    <t>9S03/000</t>
  </si>
  <si>
    <t>STAFF SALARY</t>
  </si>
  <si>
    <t>9S03/001</t>
  </si>
  <si>
    <t>BOH - PART TIME</t>
  </si>
  <si>
    <t>9S03/002</t>
  </si>
  <si>
    <t>HC - PART TIME</t>
  </si>
  <si>
    <t>9S03/003</t>
  </si>
  <si>
    <t>CBG - PART TIME</t>
  </si>
  <si>
    <t>9S03/004</t>
  </si>
  <si>
    <t>IC - PART TIME</t>
  </si>
  <si>
    <t>9S03/005</t>
  </si>
  <si>
    <t>SL - PART TIME</t>
  </si>
  <si>
    <t>9S03/006</t>
  </si>
  <si>
    <t>SW - PART TIME</t>
  </si>
  <si>
    <t>9S03/009</t>
  </si>
  <si>
    <t>NP - PART TIMER</t>
  </si>
  <si>
    <t>9S03/010</t>
  </si>
  <si>
    <t>MJ - PART TIMER</t>
  </si>
  <si>
    <t>9S03/011</t>
  </si>
  <si>
    <t>ENG KONG-PART TIMER</t>
  </si>
  <si>
    <t>9S03/013</t>
  </si>
  <si>
    <t>SGW-PART TIMER</t>
  </si>
  <si>
    <t>9S03/015</t>
  </si>
  <si>
    <t>DEMPSEY-PART TIMER</t>
  </si>
  <si>
    <t>9S03/016</t>
  </si>
  <si>
    <t>FABER DRIVE - PART TIMER</t>
  </si>
  <si>
    <t>9S04/000</t>
  </si>
  <si>
    <t>STAFF WELFARE</t>
  </si>
  <si>
    <t>9S06/000</t>
  </si>
  <si>
    <t>SECRETARIAL FEE</t>
  </si>
  <si>
    <t>9S10/000</t>
  </si>
  <si>
    <t>STATIONERY</t>
  </si>
  <si>
    <t>9S11/000</t>
  </si>
  <si>
    <t>STORAGE CHARGES</t>
  </si>
  <si>
    <t>9S13/000</t>
  </si>
  <si>
    <t>SMALL EQUIPMENT</t>
  </si>
  <si>
    <t>9S13/001</t>
  </si>
  <si>
    <t>SMALL EQUIPMENT - BOH</t>
  </si>
  <si>
    <t>9S13/002</t>
  </si>
  <si>
    <t>SMALL EQUIPMENT - HC</t>
  </si>
  <si>
    <t>9S13/003</t>
  </si>
  <si>
    <t>SMALL EQUIPMENT - CBG</t>
  </si>
  <si>
    <t>9S13/004</t>
  </si>
  <si>
    <t>SMALL EQUIPMENT - IC</t>
  </si>
  <si>
    <t>9S13/005</t>
  </si>
  <si>
    <t>SMALL EQUIPMENT - SL</t>
  </si>
  <si>
    <t>9S13/006</t>
  </si>
  <si>
    <t>SMALL EQUIPMENT - SW</t>
  </si>
  <si>
    <t>9S13/007</t>
  </si>
  <si>
    <t>SMALL EQUIPMENT - SCHOOL</t>
  </si>
  <si>
    <t>9S13/009</t>
  </si>
  <si>
    <t>SMALL EQUIPMENT - NAMLY PLACE</t>
  </si>
  <si>
    <t>9S13/010</t>
  </si>
  <si>
    <t>SMALL EQUIPMENT - MOJO</t>
  </si>
  <si>
    <t>9S13/011</t>
  </si>
  <si>
    <t>SMALL EQUIPMENT - ENG KONG</t>
  </si>
  <si>
    <t>9S13/012</t>
  </si>
  <si>
    <t>SMALL EQUIPMENT - SERANGOON</t>
  </si>
  <si>
    <t>9S13/013</t>
  </si>
  <si>
    <t>SMALL EQUIPMENT - DEMPSEY</t>
  </si>
  <si>
    <t>9S13/014</t>
  </si>
  <si>
    <t>SMALL EQUIPMENT - FABER DR</t>
  </si>
  <si>
    <t>9S13/015</t>
  </si>
  <si>
    <t>SMALL EQUIPMENT - SBV</t>
  </si>
  <si>
    <t>9T01/000</t>
  </si>
  <si>
    <t>TRANSPORTATION AND COURIER</t>
  </si>
  <si>
    <t>9T01/001</t>
  </si>
  <si>
    <t>TRANSPORT - HC</t>
  </si>
  <si>
    <t>9T01/002</t>
  </si>
  <si>
    <t>TRANSPORT - CB</t>
  </si>
  <si>
    <t>9T01/004</t>
  </si>
  <si>
    <t>TRANSPORT - SL</t>
  </si>
  <si>
    <t>9T01/005</t>
  </si>
  <si>
    <t>TRANSPORT - SW</t>
  </si>
  <si>
    <t>9T01/007</t>
  </si>
  <si>
    <t>TRANSPORT - NP</t>
  </si>
  <si>
    <t>9T01/008</t>
  </si>
  <si>
    <t>TRANSPORT - BS</t>
  </si>
  <si>
    <t>9T01/010</t>
  </si>
  <si>
    <t>TRANSPORT - EKT</t>
  </si>
  <si>
    <t>9T01/011</t>
  </si>
  <si>
    <t>TRANSPORT - SGW</t>
  </si>
  <si>
    <t>9T01/012</t>
  </si>
  <si>
    <t>TRANSPORT - DEM</t>
  </si>
  <si>
    <t>9T01/013</t>
  </si>
  <si>
    <t>TRANSPORT - UPKEEP OF MOTOR VEHICLE</t>
  </si>
  <si>
    <t>9T01/014</t>
  </si>
  <si>
    <t>TRANSPORT - FABER</t>
  </si>
  <si>
    <t>9T01/015</t>
  </si>
  <si>
    <t>TRANSPORT - HOT KITCHEN</t>
  </si>
  <si>
    <t>9T01/016</t>
  </si>
  <si>
    <t>TRANSPORT - SBV</t>
  </si>
  <si>
    <t>9T01/099</t>
  </si>
  <si>
    <t>BOH/HQ-TAXIFARE/COURIER</t>
  </si>
  <si>
    <t>9T02/000</t>
  </si>
  <si>
    <t>TELEPHONE AND INTERNET</t>
  </si>
  <si>
    <t>9T03/000</t>
  </si>
  <si>
    <t>TRAINING EXPENSES</t>
  </si>
  <si>
    <t>9T04/000</t>
  </si>
  <si>
    <t>TRAVELLING EXPENSES</t>
  </si>
  <si>
    <t>9T07/000</t>
  </si>
  <si>
    <t>WITHOLDING TAX</t>
  </si>
  <si>
    <t>9T07/002</t>
  </si>
  <si>
    <t>WITHOLDING TAX - KSA</t>
  </si>
  <si>
    <t>9U01/000</t>
  </si>
  <si>
    <t>UNIFORM</t>
  </si>
  <si>
    <t>9W01/001</t>
  </si>
  <si>
    <t>WATER - HC</t>
  </si>
  <si>
    <t>9W01/002</t>
  </si>
  <si>
    <t>WATER - CB</t>
  </si>
  <si>
    <t>9W01/004</t>
  </si>
  <si>
    <t>WATER - SL</t>
  </si>
  <si>
    <t>9W01/005</t>
  </si>
  <si>
    <t>WATER - SW</t>
  </si>
  <si>
    <t>9W01/007</t>
  </si>
  <si>
    <t>WATER - NP</t>
  </si>
  <si>
    <t>9W01/008</t>
  </si>
  <si>
    <t>WATER - BCS</t>
  </si>
  <si>
    <t>9W01/009</t>
  </si>
  <si>
    <t>WATER - MOJO</t>
  </si>
  <si>
    <t>9W01/010</t>
  </si>
  <si>
    <t>WATER - EKT</t>
  </si>
  <si>
    <t>9W01/011</t>
  </si>
  <si>
    <t>WATER - SGW</t>
  </si>
  <si>
    <t>9W01/012</t>
  </si>
  <si>
    <t>WATER - DEM</t>
  </si>
  <si>
    <t>9W01/013</t>
  </si>
  <si>
    <t>WATER - FABER DR</t>
  </si>
  <si>
    <t>9W01/014</t>
  </si>
  <si>
    <t>WATER - SBV</t>
  </si>
  <si>
    <t>Commonwealth Concepts Pte Ltd</t>
  </si>
  <si>
    <t>Trial Balance</t>
  </si>
  <si>
    <t>$</t>
  </si>
  <si>
    <t>HQ Petty Cash</t>
  </si>
  <si>
    <t>Outlet Cash Floats</t>
  </si>
  <si>
    <t>DBS SGD Current A/C 1</t>
  </si>
  <si>
    <t>DBS SGD Current A/C 1 - Incoming</t>
  </si>
  <si>
    <t>DBS SGD Current A/C 1 - Outgoing</t>
  </si>
  <si>
    <t>DBS USD Current A/C 1</t>
  </si>
  <si>
    <t>DBS USD Current A/C 1 - Outgoing</t>
  </si>
  <si>
    <t>UOB SGD Current A/C 1</t>
  </si>
  <si>
    <t>Trade Receivables Control: External</t>
  </si>
  <si>
    <t>Trade Receivables Control: Interco</t>
  </si>
  <si>
    <t>Provn Doubtful Debts: Trade: External</t>
  </si>
  <si>
    <t>Translation: Trade Receivables: Externa</t>
  </si>
  <si>
    <t>Unbilled Trade Receivables: External</t>
  </si>
  <si>
    <t>Event Voucher (Redemption)</t>
  </si>
  <si>
    <t>Eatigo Cash Voucher</t>
  </si>
  <si>
    <t>Cash Float Exchange</t>
  </si>
  <si>
    <t>Intersegment Clearing</t>
  </si>
  <si>
    <t>Interco Clearing</t>
  </si>
  <si>
    <t>Raw Materials</t>
  </si>
  <si>
    <t>Beverages</t>
  </si>
  <si>
    <t>Alcohol</t>
  </si>
  <si>
    <t>Work In Progress</t>
  </si>
  <si>
    <t>Finished Goods Inventories</t>
  </si>
  <si>
    <t>Trading Goods</t>
  </si>
  <si>
    <t>Inventory: Packaging</t>
  </si>
  <si>
    <t>Input GST Receivable</t>
  </si>
  <si>
    <t>Prepayments</t>
  </si>
  <si>
    <t>Downpayment &amp; Advance Payment</t>
  </si>
  <si>
    <t>Deposits: Rental</t>
  </si>
  <si>
    <t>Deposits: Utilities</t>
  </si>
  <si>
    <t>Deposits: Others</t>
  </si>
  <si>
    <t>Recoverable: Interco</t>
  </si>
  <si>
    <t>Recoverable: External</t>
  </si>
  <si>
    <t>Invt In Subsidiaries</t>
  </si>
  <si>
    <t>Construction In-Progress</t>
  </si>
  <si>
    <t>Leasehold Improvements</t>
  </si>
  <si>
    <t>Accum Deprn: Leasehold Improvements</t>
  </si>
  <si>
    <t>Office Furn &amp; Fittings</t>
  </si>
  <si>
    <t>Accum Deprn: Office Furn &amp; Fittings</t>
  </si>
  <si>
    <t>Office Equipment</t>
  </si>
  <si>
    <t>Accum Deprn: Office Equipment</t>
  </si>
  <si>
    <t>Plant, Equipment &amp; Boats</t>
  </si>
  <si>
    <t>Accum Deprn: Plant, Equipment &amp; Boats</t>
  </si>
  <si>
    <t>Motor Vehicles</t>
  </si>
  <si>
    <t>Accum Deprn: Motor Vehicles</t>
  </si>
  <si>
    <t>Goodwill from Acquisitions</t>
  </si>
  <si>
    <t>Trademarks And Licences</t>
  </si>
  <si>
    <t>Accum Amortn: Trademarks, Licences</t>
  </si>
  <si>
    <t>Trade Payables Control: External</t>
  </si>
  <si>
    <t>Trade Payables Control: Interco</t>
  </si>
  <si>
    <t>GR IR Clearing</t>
  </si>
  <si>
    <t>Translation: Trade Payables: External</t>
  </si>
  <si>
    <t>Non-Trade Payables Control: External</t>
  </si>
  <si>
    <t>Translation: Non-Trade Payables Externa</t>
  </si>
  <si>
    <t>Accruals: Non-Trade</t>
  </si>
  <si>
    <t>Deposits Received: Others</t>
  </si>
  <si>
    <t>Output GST Payable</t>
  </si>
  <si>
    <t>Other Payables</t>
  </si>
  <si>
    <t>Provn For Deferred Income</t>
  </si>
  <si>
    <t>Provn For Outlet Reinstatement Cost</t>
  </si>
  <si>
    <t>Provn For Unutilised Leave</t>
  </si>
  <si>
    <t>Bank: Term Loans</t>
  </si>
  <si>
    <t>Bank: MML</t>
  </si>
  <si>
    <t>Bank: Trust Receipts</t>
  </si>
  <si>
    <t>Shareholder Loans</t>
  </si>
  <si>
    <t>Deferred Income Tax Liabilities</t>
  </si>
  <si>
    <t>Ordinary Share Capital</t>
  </si>
  <si>
    <t>Beginning Retained Earnings</t>
  </si>
  <si>
    <t>Sales: Food</t>
  </si>
  <si>
    <t>Sales: Delivery</t>
  </si>
  <si>
    <t>Sales: Merchandise</t>
  </si>
  <si>
    <t>Sales: Franchise Supplies</t>
  </si>
  <si>
    <t>Sales: Beverages</t>
  </si>
  <si>
    <t>Sales: Online</t>
  </si>
  <si>
    <t>Sales: Alcohol</t>
  </si>
  <si>
    <t>Sales: Service Charge</t>
  </si>
  <si>
    <t>Sales: Goods</t>
  </si>
  <si>
    <t>Sales: Miscellaneous</t>
  </si>
  <si>
    <t>Sales Discounts &amp; Rebates</t>
  </si>
  <si>
    <t>COGS: Food</t>
  </si>
  <si>
    <t>COGS: Promotions</t>
  </si>
  <si>
    <t>COGS: Entertainment</t>
  </si>
  <si>
    <t>COGS: Staff Meals</t>
  </si>
  <si>
    <t>COGS: Wastage</t>
  </si>
  <si>
    <t>COGS: Wastage - Beverages</t>
  </si>
  <si>
    <t>COGS: Wastage - Alcohol</t>
  </si>
  <si>
    <t>COGS: Pkg &amp; Consumables</t>
  </si>
  <si>
    <t>COGS: Raw Materials</t>
  </si>
  <si>
    <t>COGS: Stocktake Variance FGI</t>
  </si>
  <si>
    <t>COGS: Stocktake Variance Raw Materials</t>
  </si>
  <si>
    <t>COGS: Stocktake Variance Pkg &amp; Consumab</t>
  </si>
  <si>
    <t>COGS: Trading Goods</t>
  </si>
  <si>
    <t>COGS: Beverages</t>
  </si>
  <si>
    <t>COGS: Packaging</t>
  </si>
  <si>
    <t>Logistic Price Variance</t>
  </si>
  <si>
    <t>COGS: Others</t>
  </si>
  <si>
    <t>Salaries: Dishwashers</t>
  </si>
  <si>
    <t>Salaries: Doughworkz</t>
  </si>
  <si>
    <t>Salaries: Drivers</t>
  </si>
  <si>
    <t>Salaries: Kitchen Crew</t>
  </si>
  <si>
    <t>Salaries: Kitchen Management</t>
  </si>
  <si>
    <t>Salaries: Management &amp; Office</t>
  </si>
  <si>
    <t>Salaries: Service Crew</t>
  </si>
  <si>
    <t>Salaries: Service Management</t>
  </si>
  <si>
    <t>Salaries: Other</t>
  </si>
  <si>
    <t>Direct Allocation Charges</t>
  </si>
  <si>
    <t>Staff Acting Allowance</t>
  </si>
  <si>
    <t>Staff Attendance Allowance</t>
  </si>
  <si>
    <t>Staff Housing Allowance</t>
  </si>
  <si>
    <t>Staff Meal Allowance</t>
  </si>
  <si>
    <t>Staff Mobile Charges</t>
  </si>
  <si>
    <t>Staff Performance Incentive</t>
  </si>
  <si>
    <t>Staff Relocation Allowance</t>
  </si>
  <si>
    <t>Staff Transport / Travel Allowance</t>
  </si>
  <si>
    <t>Staff Other Allowances</t>
  </si>
  <si>
    <t>OT Pay: Dishwashers</t>
  </si>
  <si>
    <t>OT Pay: Doughworkz</t>
  </si>
  <si>
    <t>OT Pay: Drivers</t>
  </si>
  <si>
    <t>OT Pay: Harvest</t>
  </si>
  <si>
    <t>OT Pay: Kitchen Crew</t>
  </si>
  <si>
    <t>OT Pay: Kitchen Management</t>
  </si>
  <si>
    <t>OT Pay: Management &amp; Office</t>
  </si>
  <si>
    <t>OT Pay: Service Crew</t>
  </si>
  <si>
    <t>OT Pay: Service Management</t>
  </si>
  <si>
    <t>Labour Chgs/Part-Timer/Internship</t>
  </si>
  <si>
    <t>Staff AWS</t>
  </si>
  <si>
    <t>Staff Variable Bonus</t>
  </si>
  <si>
    <t>Staff CPF (E'er)</t>
  </si>
  <si>
    <t>Staff Appreciation Award</t>
  </si>
  <si>
    <t>Staff Incentives / Commission</t>
  </si>
  <si>
    <t>Staff Insurance</t>
  </si>
  <si>
    <t>Staff Laundry Expense</t>
  </si>
  <si>
    <t>Staff Meal</t>
  </si>
  <si>
    <t>Staff Welfare</t>
  </si>
  <si>
    <t>Staff Medical</t>
  </si>
  <si>
    <t>Staff Transport Expense</t>
  </si>
  <si>
    <t>Staff Unutilised Leave</t>
  </si>
  <si>
    <t>Foreign Worker Levy</t>
  </si>
  <si>
    <t>Staff Recommendation Incentive</t>
  </si>
  <si>
    <t>Royalties Paid</t>
  </si>
  <si>
    <t>Merchandise Expense</t>
  </si>
  <si>
    <t>Promotions</t>
  </si>
  <si>
    <t>Overseas Travel: Airfare</t>
  </si>
  <si>
    <t>Entertainment</t>
  </si>
  <si>
    <t>Printing A&amp;P</t>
  </si>
  <si>
    <t>Prod Devmt (Food Tastg &amp; Analysis)</t>
  </si>
  <si>
    <t>Advertising</t>
  </si>
  <si>
    <t>Branding &amp; Creative Chgs</t>
  </si>
  <si>
    <t>Mktg &amp; Mgt Service Fee Paid</t>
  </si>
  <si>
    <t>Tpt, Freight &amp; Handling</t>
  </si>
  <si>
    <t>Company Vehicles: Cashcard, Parking</t>
  </si>
  <si>
    <t>Company Vehicles: Fuel</t>
  </si>
  <si>
    <t>Company Vehicles: Rental</t>
  </si>
  <si>
    <t>Company Vehicles: Servicing &amp; Repairs</t>
  </si>
  <si>
    <t>Company Vehicles: Upkeep Others</t>
  </si>
  <si>
    <t>Tools &amp; Supplies: Operations</t>
  </si>
  <si>
    <t>Rental: Non-Office Equipment</t>
  </si>
  <si>
    <t>Delivery Agents Commission</t>
  </si>
  <si>
    <t>Outlets Rental: Fixed</t>
  </si>
  <si>
    <t>Retail Rental: Consignment &amp; Concession</t>
  </si>
  <si>
    <t>Outlets Rental: GTO Variable</t>
  </si>
  <si>
    <t>Rental Related Administrative Expense</t>
  </si>
  <si>
    <t>Warehouse Storage Rental</t>
  </si>
  <si>
    <t>Office Rental</t>
  </si>
  <si>
    <t>Utilities: Office</t>
  </si>
  <si>
    <t>Utilities: Retail Outlets</t>
  </si>
  <si>
    <t>Accounting Fee</t>
  </si>
  <si>
    <t>Admin Fee</t>
  </si>
  <si>
    <t>Audit Fee</t>
  </si>
  <si>
    <t>Corporate Secretarial Fee</t>
  </si>
  <si>
    <t>Human Resource Fee</t>
  </si>
  <si>
    <t>IP Registration Cost (New)</t>
  </si>
  <si>
    <t>IP Registration Cost (Renewal)</t>
  </si>
  <si>
    <t>IT Support &amp; Maintenance</t>
  </si>
  <si>
    <t>Legal &amp; Consultancy Fee</t>
  </si>
  <si>
    <t>Management Fee</t>
  </si>
  <si>
    <t>Prof &amp; Consultancy Fee</t>
  </si>
  <si>
    <t>Service Fee</t>
  </si>
  <si>
    <t>Tax Consultancy Fee</t>
  </si>
  <si>
    <t>Cleaning Chemical Supplies</t>
  </si>
  <si>
    <t>Store Suplies: Cutlery</t>
  </si>
  <si>
    <t>Small Items Expensed Off</t>
  </si>
  <si>
    <t>Insurance: Gen,Fire,Theft, Public Liab</t>
  </si>
  <si>
    <t>Pantry Supplies</t>
  </si>
  <si>
    <t>Rental: Office Equipment</t>
  </si>
  <si>
    <t>Repair &amp; Maintenance: Office Equipment</t>
  </si>
  <si>
    <t>Tools, Supplies, Consumables</t>
  </si>
  <si>
    <t>Upkeep of Premise / Cleaning</t>
  </si>
  <si>
    <t>Postage &amp; Courier</t>
  </si>
  <si>
    <t>Printing &amp; Stationery</t>
  </si>
  <si>
    <t>Telecommunication Charges</t>
  </si>
  <si>
    <t>Licence Fees &amp; Permits (New)</t>
  </si>
  <si>
    <t>Licence Fees &amp; Permits (Renewal)</t>
  </si>
  <si>
    <t>Membership Subscriptions</t>
  </si>
  <si>
    <t>Stamp Duty</t>
  </si>
  <si>
    <t>Penalties &amp; Fines</t>
  </si>
  <si>
    <t>Bank Charges</t>
  </si>
  <si>
    <t>NETS Charges</t>
  </si>
  <si>
    <t>Visa, Master, Credit Card Charges</t>
  </si>
  <si>
    <t>Bad &amp; Doubtful Debts</t>
  </si>
  <si>
    <t>Donations</t>
  </si>
  <si>
    <t>General Expenses</t>
  </si>
  <si>
    <t>Gifts &amp; Sponsorship</t>
  </si>
  <si>
    <t>Local Travelling</t>
  </si>
  <si>
    <t>Disposal Loss / (Gain): FA</t>
  </si>
  <si>
    <t>Unrealised Exch Loss / (Gain)</t>
  </si>
  <si>
    <t>Realised Exch Loss / (Gain)</t>
  </si>
  <si>
    <t>Quality Assurance</t>
  </si>
  <si>
    <t>Staff Training / Courses</t>
  </si>
  <si>
    <t>Staff Uniform</t>
  </si>
  <si>
    <t>Safety Wear</t>
  </si>
  <si>
    <t>Skill Development Levy</t>
  </si>
  <si>
    <t>Recruitment Expenses</t>
  </si>
  <si>
    <t>Depreciation: Leasehold Improvements</t>
  </si>
  <si>
    <t>Depreciation: Office Furn &amp; Fittings</t>
  </si>
  <si>
    <t>Depreciation: Office Equipment</t>
  </si>
  <si>
    <t>Depreciation: Plant, Equipment &amp; Boats</t>
  </si>
  <si>
    <t>Depreciation: Motor Vehicles</t>
  </si>
  <si>
    <t>Amortisation: Trademarks</t>
  </si>
  <si>
    <t>Bank Interest: MML</t>
  </si>
  <si>
    <t>Bank Interest: Term Loan</t>
  </si>
  <si>
    <t>Bank Interest: TR, LC</t>
  </si>
  <si>
    <t>Franchise Fee</t>
  </si>
  <si>
    <t>Marketing Fund Income</t>
  </si>
  <si>
    <t>Royalties</t>
  </si>
  <si>
    <t>Management Fee Income</t>
  </si>
  <si>
    <t>Insurance Compensation Received</t>
  </si>
  <si>
    <t>Miscellaneous Income</t>
  </si>
  <si>
    <t>CWC</t>
  </si>
  <si>
    <t>YTD</t>
  </si>
  <si>
    <t>BnC GL Code</t>
  </si>
  <si>
    <t>BnC GL Name</t>
  </si>
  <si>
    <t>CWC x BnC</t>
  </si>
  <si>
    <t>[BnC-5010] BnC Sales</t>
  </si>
  <si>
    <t>[BnC-5100] BnC Other Income</t>
  </si>
  <si>
    <t>[BnC-5100] BnC Rental Rebate</t>
  </si>
  <si>
    <t>[BnC-5100] BnC Royalty Income - Swissbake</t>
  </si>
  <si>
    <t>[BnC-5100] BnC Royalty Income - Kokubu</t>
  </si>
  <si>
    <t>[BnC-5100] BnC Royalty Income - Commonwealth Culinary</t>
  </si>
  <si>
    <t>[BnC-5300] BnC Rental Income</t>
  </si>
  <si>
    <t>[BnC-6010] BnC Ingredient/Beverage/Consumable</t>
  </si>
  <si>
    <t>[BnC-7000] BnC Dividend Paid</t>
  </si>
  <si>
    <t>[BnC-9B01] BnC Bank Charges</t>
  </si>
  <si>
    <t>[BnC-9A02] BnC Advertisement</t>
  </si>
  <si>
    <t>[BnC-9B04] BnC Paypal Charges</t>
  </si>
  <si>
    <t>[BnC-9C01] BnC Credit Card Charges</t>
  </si>
  <si>
    <t>[BnC-9C03] BnC Cleaning Contractor</t>
  </si>
  <si>
    <t>[BnC-9C06] BnC Delivery Commission</t>
  </si>
  <si>
    <t>[BnC-9D01] BnC Director Remuneration</t>
  </si>
  <si>
    <t>[BnC-9D01] BnC Director Salary</t>
  </si>
  <si>
    <t>[BnC-9D01] BnC Director CPF</t>
  </si>
  <si>
    <t>[BnC-9D02] BnC Depreciation</t>
  </si>
  <si>
    <t>[BnC-9D03] BnC Donation</t>
  </si>
  <si>
    <t>[BnC-9E01] BnC Entertainment</t>
  </si>
  <si>
    <t>[BnC-9I01] BnC Insurance</t>
  </si>
  <si>
    <t>[BnC-9I04] BnC Loan Interest</t>
  </si>
  <si>
    <t>[BnC-9I02] BnC IT &amp; Webpage Expense</t>
  </si>
  <si>
    <t>[BnC-9L01] BnC Legal and Professional Fee</t>
  </si>
  <si>
    <t>[BnC-9L02] BnC License</t>
  </si>
  <si>
    <t>[BnC-9L03] BnC Trademark License Fee</t>
  </si>
  <si>
    <t>[BnC-9M02] BnC Medical Fee</t>
  </si>
  <si>
    <t>[BnC-9N01] BnC NETS Transaction Charges</t>
  </si>
  <si>
    <t>[BnC-9O02] BnC Opening Ceremony Cost</t>
  </si>
  <si>
    <t>[BnC-9P01] BnC HC - Electricity</t>
  </si>
  <si>
    <t>[BnC-9P01] BnC Gas</t>
  </si>
  <si>
    <t>[BnC-9P02] BnC Pest Control</t>
  </si>
  <si>
    <t>[BnC-9P03] BnC Printing</t>
  </si>
  <si>
    <t>[BnC-9P04] BnC Printing</t>
  </si>
  <si>
    <t>[BnC-9P05] BnC PR Service</t>
  </si>
  <si>
    <t>[BnC-9P06] BnC POS System Fee</t>
  </si>
  <si>
    <t>[BnC-9P07] BnC Payroll System</t>
  </si>
  <si>
    <t>[BnC-9R01] BnC Rubbish Removal</t>
  </si>
  <si>
    <t>[BnC-9R02] BnC Repair &amp; Maintainance</t>
  </si>
  <si>
    <t>[BnC-9R03] BnC Rental</t>
  </si>
  <si>
    <t>[BnC-9R04] BnC Car Rental</t>
  </si>
  <si>
    <t>[BnC-9S01] BnC Foreign Worker Levy</t>
  </si>
  <si>
    <t>[BnC-9S02] BnC Employer CPF</t>
  </si>
  <si>
    <t>[BnC-9S03] BnC Staff Salary</t>
  </si>
  <si>
    <t>[BnC-9S03] BnC Part Time Salary</t>
  </si>
  <si>
    <t>[BnC-9S04] BnC Staff Welfare</t>
  </si>
  <si>
    <t>[BnC-9S06] BnC Secretarial Fee</t>
  </si>
  <si>
    <t>[BnC-9S10] BnC Stationary</t>
  </si>
  <si>
    <t>[BnC-9S11] BnC Storage Charges</t>
  </si>
  <si>
    <t>[BnC-9S13] BnC Small Equipment</t>
  </si>
  <si>
    <t>[BnC-9T01] BnC Transportation</t>
  </si>
  <si>
    <t>[BnC-9T01] BnC Taxi Fare</t>
  </si>
  <si>
    <t>[BnC-9T02] BnC Telephone and Internet</t>
  </si>
  <si>
    <t>[BnC-9T03] BnC Training</t>
  </si>
  <si>
    <t>[BnC-9T04] BnC Travelling</t>
  </si>
  <si>
    <t>[BnC-9T07] BnC Witholding Tax</t>
  </si>
  <si>
    <t>[BnC-9U01] BnC Uniform</t>
  </si>
  <si>
    <t>[BnC-9W01] BnC Water</t>
  </si>
  <si>
    <t>[BnC-1000] BnC Share Capital</t>
  </si>
  <si>
    <t>[BnC-1100] BnC Accumulated Profit / Loss</t>
  </si>
  <si>
    <t>[BnC-2I01] BnC Long Term Investment</t>
  </si>
  <si>
    <t>[BnC-3000] BnC Trade Debtors</t>
  </si>
  <si>
    <t>[BnC-3010] BnC Spare Cash Float</t>
  </si>
  <si>
    <t>[BnC-3010] BnC Paypal Account</t>
  </si>
  <si>
    <t>[BnC-3020] BnC Deposit</t>
  </si>
  <si>
    <t>[BnC-3020] BnC Prepayment</t>
  </si>
  <si>
    <t>[BnC-3060] BnC Closing Stock</t>
  </si>
  <si>
    <t>[BnC-4000] BnC Trade Payables</t>
  </si>
  <si>
    <t>[BnC-4010] BnC Accrual</t>
  </si>
  <si>
    <t>[BnC-4080] BnC Provision For Taxation</t>
  </si>
  <si>
    <t>[BnC-4200] BnC Deferred Taxation</t>
  </si>
  <si>
    <t>[BnC-4300] BnC Suspense Account</t>
  </si>
  <si>
    <t xml:space="preserve">[BnC-2B01] BnC Baking Equipment </t>
  </si>
  <si>
    <t>[BnC-2B01] BnC Acc Depn-Baking Equipment</t>
  </si>
  <si>
    <t>[BnC-2C01] BnC Computer</t>
  </si>
  <si>
    <t>[BnC-2C01] BnC Acc Depreciation - Computer</t>
  </si>
  <si>
    <t>[BnC-2F01] BnC Furniture &amp; Fitting</t>
  </si>
  <si>
    <t>[BnC-2F01] BnC Acc Depn - Furniture &amp; Fitting</t>
  </si>
  <si>
    <t>[BnC-2K01] BnC Kitchen Equipment</t>
  </si>
  <si>
    <t>[BnC-2O01] BnC Office Equipment</t>
  </si>
  <si>
    <t>[BnC-2O01] BnC Acc Depreciation - Office Equipment</t>
  </si>
  <si>
    <t>[BnC-2R01] BnC Renovation</t>
  </si>
  <si>
    <t>[BnC-2R01] BnC Acc Depn-Renovation</t>
  </si>
  <si>
    <t>[BnC-2S01] BnC Software</t>
  </si>
  <si>
    <t>[BnC-2S01] BnC Acc Depreciation - Software</t>
  </si>
  <si>
    <t>[BnC-2T01] BnC Telephone And Cabling</t>
  </si>
  <si>
    <t>[BnC-2T01] BnC Acc Depreciation - Telphone and Cabling</t>
  </si>
  <si>
    <t>[BnC-3010] BnC Petty Cash</t>
  </si>
  <si>
    <t>[BnC-3010] BnC Cash In POS</t>
  </si>
  <si>
    <t>[BnC-3010] BnC OCBC - SGD 641-102686-001</t>
  </si>
  <si>
    <t>[BnC-3010] BnC SCB - SGD 0102 7994 23</t>
  </si>
  <si>
    <t>[BnC-3010] BnC DBS - SGD 0720280067</t>
  </si>
  <si>
    <t>[BnC-3010] BnC Ocbc - SGD 687239491001</t>
  </si>
  <si>
    <t>[BnC-3010] BnC UOB - SGD 3493328601</t>
  </si>
  <si>
    <t>[BnC-3020] BnC Amount Owing By B&amp;C Msia</t>
  </si>
  <si>
    <t>[BnC-3031] BnC Right Of Use</t>
  </si>
  <si>
    <t>[BnC-3090] BnC GST Input Tax</t>
  </si>
  <si>
    <t>[BnC-4010] BnC CPF Payables</t>
  </si>
  <si>
    <t>[BnC-3020] BnC Deposit Received</t>
  </si>
  <si>
    <t>[BnC-4011] BnC Lease Liability</t>
  </si>
  <si>
    <t>[BnC-4012] BnC DBS Bridging Loan</t>
  </si>
  <si>
    <t>[BnC-4050] BnC Payroll Control</t>
  </si>
  <si>
    <t>[BnC-4090] BnC GST Output Tax</t>
  </si>
  <si>
    <t>[BnC-4100] BnC GST Control Account</t>
  </si>
  <si>
    <t>Baker &amp; Cook</t>
  </si>
  <si>
    <t>CWC Group (Before Consol)</t>
  </si>
  <si>
    <t>CWC Group (After Consol)</t>
  </si>
  <si>
    <t>Amount</t>
  </si>
  <si>
    <t>Investment in Baker &amp; Cook (55%)</t>
  </si>
  <si>
    <t>Investment in Baker &amp; Cook (15%)</t>
  </si>
  <si>
    <t>HC</t>
  </si>
  <si>
    <t>CBG</t>
  </si>
  <si>
    <t>IC</t>
  </si>
  <si>
    <t>SL</t>
  </si>
  <si>
    <t>SW</t>
  </si>
  <si>
    <t>HIX</t>
  </si>
  <si>
    <t>NP</t>
  </si>
  <si>
    <t>EK</t>
  </si>
  <si>
    <t>SG</t>
  </si>
  <si>
    <t>DEM</t>
  </si>
  <si>
    <t>FD</t>
  </si>
  <si>
    <t>SBV</t>
  </si>
  <si>
    <t>MJ</t>
  </si>
  <si>
    <t>BCS</t>
  </si>
  <si>
    <t>INT</t>
  </si>
  <si>
    <t>HQ / CK</t>
  </si>
  <si>
    <t>TOTAL</t>
  </si>
  <si>
    <r>
      <t xml:space="preserve">SALES </t>
    </r>
    <r>
      <rPr>
        <sz val="9"/>
        <color theme="1"/>
        <rFont val="Times New Roman"/>
        <family val="1"/>
      </rPr>
      <t>( inclusive of delivery )</t>
    </r>
  </si>
  <si>
    <t>Refer to sales narrative file for the detailed analysis</t>
  </si>
  <si>
    <t xml:space="preserve">Delivery / Catering </t>
  </si>
  <si>
    <t>%</t>
  </si>
  <si>
    <t>COST OF GOOD SOLD</t>
  </si>
  <si>
    <t>New additions of FD and SBV outlet this year. Also, the increase is from HC, probably due to the orders from production department, which is only exist this year. To investigate the reason for the food cost increase in plank outlet e.g DEM and SGW given that production department already in place.</t>
  </si>
  <si>
    <t>DIRECT COST</t>
  </si>
  <si>
    <t>COFFEE</t>
  </si>
  <si>
    <t>ALCOHOL + BEVERAGES</t>
  </si>
  <si>
    <t>PACKAGING &amp; CONSUMABLES ITEM</t>
  </si>
  <si>
    <t>Ordering of christmas packing materials. Perhaps due to more order received for christmas product or hamper in online delivery platform.</t>
  </si>
  <si>
    <t>FREIGHT CHARGES</t>
  </si>
  <si>
    <t xml:space="preserve">            -  </t>
  </si>
  <si>
    <t>MERCHANDISE ITEM</t>
  </si>
  <si>
    <t>Amortisation of books to P&amp;L last year. No purchase of books from publisher this year.</t>
  </si>
  <si>
    <t>GROSS PROFIT</t>
  </si>
  <si>
    <t>Food cost over sales ratio</t>
  </si>
  <si>
    <t>GP MARGIN</t>
  </si>
  <si>
    <t>OPERATING EXPENSES</t>
  </si>
  <si>
    <t>2 additional outlets this year. Also, we are partnering with UOB for UOB rebate program, and the rebate is counted as credit card commission.</t>
  </si>
  <si>
    <t>BANK CHARGES &amp; CREDIT CARD COMMISSION</t>
  </si>
  <si>
    <t>PAYPAL CHARGES</t>
  </si>
  <si>
    <t>NETS CHARGES</t>
  </si>
  <si>
    <t>POS SYSTEM FEE</t>
  </si>
  <si>
    <t>COMMISSION PAID TO DELIVERY COMPANY</t>
  </si>
  <si>
    <t>Consistent with the increase in delivery sales.</t>
  </si>
  <si>
    <t>BUSINESS &amp; MEDICAL INSURANCE</t>
  </si>
  <si>
    <t>LICENSE FEE</t>
  </si>
  <si>
    <t>Application of food and liquor license for SBV.</t>
  </si>
  <si>
    <t>GLOBAL BAKER LICENSE FEE</t>
  </si>
  <si>
    <t>LEGAL &amp; PROFESSIONAL</t>
  </si>
  <si>
    <t xml:space="preserve">Professional fee paid for recruitment of COO and past acquistion related expenses. </t>
  </si>
  <si>
    <t>POWER</t>
  </si>
  <si>
    <t>The surge in utilities cost is due to market condition, as higher fuel cost in producing electricity.</t>
  </si>
  <si>
    <t>GAS</t>
  </si>
  <si>
    <t>2 additional outlets this year</t>
  </si>
  <si>
    <t>PEST CONTROL FEE</t>
  </si>
  <si>
    <t>2 additional outlets and 7BL started its operation this year</t>
  </si>
  <si>
    <t>RUBBISH REMOVAL</t>
  </si>
  <si>
    <t>Quarterly billing of rubbish removal for DEM outlet. Also, 2 additional outlets this year.</t>
  </si>
  <si>
    <t>WATER</t>
  </si>
  <si>
    <t>PRINTING AND ADVERTISEMENT COST</t>
  </si>
  <si>
    <t xml:space="preserve">Printing of stickers for spelt sourdough and xmas packaging. </t>
  </si>
  <si>
    <t>DOMAIN &amp; WEBPAGE RELATED COST</t>
  </si>
  <si>
    <t>REPAIR &amp; MAINTENANCE</t>
  </si>
  <si>
    <t xml:space="preserve">Refer to narrative in the respective columns. </t>
  </si>
  <si>
    <t>Purchase of new kitchen utensils for SBV and 7BL</t>
  </si>
  <si>
    <t>RENTALs</t>
  </si>
  <si>
    <t>FRONT OF HOUSE ( FULL TIME )</t>
  </si>
  <si>
    <t>Total staff cost over sales is 33%. IC and MJ has the ratio &gt;30%</t>
  </si>
  <si>
    <t>FRONT OF HOUSE ( PART TIME )</t>
  </si>
  <si>
    <t>BACK OF HOUSE</t>
  </si>
  <si>
    <t>BONUS</t>
  </si>
  <si>
    <t>CPF</t>
  </si>
  <si>
    <t>FWL</t>
  </si>
  <si>
    <t>CLEANING CONTRACTOR</t>
  </si>
  <si>
    <t>Additional location at FD, SBV and 7BL.</t>
  </si>
  <si>
    <t>HQ OFFICE STAFF</t>
  </si>
  <si>
    <t>HQ OFFICE STAFF - BONUS</t>
  </si>
  <si>
    <t>HQ OFFICE STAFF - CPF</t>
  </si>
  <si>
    <t xml:space="preserve">Staff meal and laundry incurred for DEM outlet. </t>
  </si>
  <si>
    <t>TRANSPORTATION</t>
  </si>
  <si>
    <t>TRAVELLING</t>
  </si>
  <si>
    <t>TELECOMMUNICATION</t>
  </si>
  <si>
    <t xml:space="preserve">CEREMONY COST </t>
  </si>
  <si>
    <t>TRAINING</t>
  </si>
  <si>
    <t>Depreciation incurred for new outlet at SBV and at 7BL</t>
  </si>
  <si>
    <t>WITHOLDING TAX (INT)</t>
  </si>
  <si>
    <r>
      <rPr>
        <u/>
        <sz val="10"/>
        <color theme="1"/>
        <rFont val="Calibri"/>
        <family val="2"/>
        <scheme val="minor"/>
      </rPr>
      <t>Major total cost increase breakdown:</t>
    </r>
    <r>
      <rPr>
        <sz val="10"/>
        <color theme="1"/>
        <rFont val="Calibri"/>
        <family val="2"/>
        <scheme val="minor"/>
      </rPr>
      <t xml:space="preserve">
- staff cost increased by $54K
- rental increased by $30K
- increase in selling cost e.g. credit commission and commission paid to online delivery platform by $25k</t>
    </r>
  </si>
  <si>
    <t>EBITDA</t>
  </si>
  <si>
    <t>EBT</t>
  </si>
  <si>
    <t>NP MARGIN</t>
  </si>
  <si>
    <r>
      <rPr>
        <b/>
        <u val="singleAccounting"/>
        <sz val="11"/>
        <color rgb="FF0070C0"/>
        <rFont val="Calibri"/>
        <family val="2"/>
        <scheme val="minor"/>
      </rPr>
      <t>Overall summary:</t>
    </r>
    <r>
      <rPr>
        <sz val="11"/>
        <color rgb="FF0070C0"/>
        <rFont val="Calibri"/>
        <family val="2"/>
        <scheme val="minor"/>
      </rPr>
      <t xml:space="preserve">
Total net profit has decline by 186K (44%) compared with last year, although the increase in turnover (mostly from new outlet at FD, SBV and School). 
There's a increase in operating cost e.g. rental, utilities and selling related cost (credit card commission and commission payable to online delivery platform). The surge in operating cost is not unusual as they are meant for new outlets and central kitchen and the reason for selling cost increase is to encourage more purchase and coverage from our customers. 
</t>
    </r>
  </si>
  <si>
    <t>FOH STAFF vs SALES</t>
  </si>
  <si>
    <t>PT FOR STAFF vs SALES</t>
  </si>
  <si>
    <t>TOTAL STAFF vs SALES</t>
  </si>
  <si>
    <t>RENT vs SALES</t>
  </si>
  <si>
    <t>EBITDA %</t>
  </si>
  <si>
    <t>EBIT %</t>
  </si>
  <si>
    <t>Non-Controlling Interest (NCI)</t>
  </si>
  <si>
    <t>70% portion (SC)</t>
  </si>
  <si>
    <t>30% NCI portion (SC)</t>
  </si>
  <si>
    <t>70% portion (Prior Year Profit)</t>
  </si>
  <si>
    <t>30% NCI portion (Prior Year Profit)</t>
  </si>
  <si>
    <t>Current Year Profit and Loss</t>
  </si>
  <si>
    <t>Nov Profit*30% NCI Portion</t>
  </si>
  <si>
    <t>Pre-acquisition (Baker and Cook)</t>
  </si>
  <si>
    <t>70% portion (2021 Dividend b/f acquisition)</t>
  </si>
  <si>
    <t>30% NCI portion  (2021 Dividend b/f acquisition)</t>
  </si>
  <si>
    <t>minus Nov MTD Profit</t>
  </si>
  <si>
    <t>Match against consol journal</t>
  </si>
  <si>
    <t>check</t>
  </si>
  <si>
    <t>Post-acquisition (Baker and Cook)</t>
  </si>
  <si>
    <t>NCI Proof</t>
  </si>
  <si>
    <t>Nov21 Profit</t>
  </si>
  <si>
    <t>NCI as per calculation</t>
  </si>
  <si>
    <t>NCI as per consol account</t>
  </si>
  <si>
    <t>Group FVNA Proof</t>
  </si>
  <si>
    <t>CWC Share Capital</t>
  </si>
  <si>
    <t>CWC R/E (Prior + Current Year)</t>
  </si>
  <si>
    <t>Share of B/C Profit Post acq.</t>
  </si>
  <si>
    <t>Group FVNA as per consol account</t>
  </si>
  <si>
    <t>DBS USD Current A/C 1 - Incoming</t>
  </si>
  <si>
    <t>Grants Income Receivable</t>
  </si>
  <si>
    <t>Non-Trade Payables Control: Interco</t>
  </si>
  <si>
    <t>Preference Share Capital</t>
  </si>
  <si>
    <t>COGS: Alcohol</t>
  </si>
  <si>
    <t>Inventory Obsolescence</t>
  </si>
  <si>
    <t>Other Bank Borrowing Costs</t>
  </si>
  <si>
    <t>A</t>
  </si>
  <si>
    <t>B</t>
  </si>
  <si>
    <t>2K01/300</t>
  </si>
  <si>
    <t>KITCHEN EQUIPMENT - SUNSET WAY</t>
  </si>
  <si>
    <t>2K01/800</t>
  </si>
  <si>
    <t>KITCHEN EQUIPMENT - FABER DR</t>
  </si>
  <si>
    <t>3031/013</t>
  </si>
  <si>
    <t>RIGHT OF USE - FABER</t>
  </si>
  <si>
    <t>3031/014</t>
  </si>
  <si>
    <t>RIGHT OF USE - SOUTH BUONA VISTA</t>
  </si>
  <si>
    <t>3031/097</t>
  </si>
  <si>
    <t>RIGHT OF USE - 7BL</t>
  </si>
  <si>
    <t>4011/013</t>
  </si>
  <si>
    <t>LEASE LIABILITY - FABER</t>
  </si>
  <si>
    <t>4011/014</t>
  </si>
  <si>
    <t>LEASE LIABILITY - SOUTH BUONA VISTA</t>
  </si>
  <si>
    <t>4011/097</t>
  </si>
  <si>
    <t>LEASE LIABILITY - 7BL</t>
  </si>
  <si>
    <t>4050/012</t>
  </si>
  <si>
    <t>PAYROLL CONTROL - DEC'20</t>
  </si>
  <si>
    <t>9C06/012</t>
  </si>
  <si>
    <t>COMMISSION - DELIVERY CO - SBV</t>
  </si>
  <si>
    <t>9D04/001</t>
  </si>
  <si>
    <t>DEPRECIATION OF ROU - HC</t>
  </si>
  <si>
    <t>9D04/002</t>
  </si>
  <si>
    <t>DEPRECIATION OF ROU - CBG</t>
  </si>
  <si>
    <t>9D04/003</t>
  </si>
  <si>
    <t>DEPRECIATION OF ROU - IC</t>
  </si>
  <si>
    <t>9D04/004</t>
  </si>
  <si>
    <t>DEPRECIATION OF ROU - SL</t>
  </si>
  <si>
    <t>9D04/005</t>
  </si>
  <si>
    <t>DEPRECIATION OF ROU - SW</t>
  </si>
  <si>
    <t>9D04/006</t>
  </si>
  <si>
    <t>DEPRECIATION OF ROU - NP</t>
  </si>
  <si>
    <t>9D04/008</t>
  </si>
  <si>
    <t>DEPRECIATION OF ROU - BBCS</t>
  </si>
  <si>
    <t>9D04/009</t>
  </si>
  <si>
    <t>DEPRECIATION OF ROU - GW</t>
  </si>
  <si>
    <t>9D04/010</t>
  </si>
  <si>
    <t>DEPRECIATION OF ROU - EKT</t>
  </si>
  <si>
    <t>9D04/011</t>
  </si>
  <si>
    <t>DEPRECIATION OF ROU - SGW</t>
  </si>
  <si>
    <t>9D04/012</t>
  </si>
  <si>
    <t>DEPRECIATION OF ROU - DEM</t>
  </si>
  <si>
    <t>9D04/013</t>
  </si>
  <si>
    <t>DEPRECIATION OF ROU - FD</t>
  </si>
  <si>
    <t>9D04/014</t>
  </si>
  <si>
    <t>DEPRECIATION OF ROU - SBV</t>
  </si>
  <si>
    <t>9D04/097</t>
  </si>
  <si>
    <t>DEPRECIATION OF ROU - 7BL</t>
  </si>
  <si>
    <t>9D04/098</t>
  </si>
  <si>
    <t>DEPRECIATION OF ROU - HQ</t>
  </si>
  <si>
    <t>9D04/099</t>
  </si>
  <si>
    <t>DEPRECIATION OF ROU - VAN</t>
  </si>
  <si>
    <t>9I05/001</t>
  </si>
  <si>
    <t>INTEREST TO ROU - HC</t>
  </si>
  <si>
    <t>9I05/002</t>
  </si>
  <si>
    <t>INTEREST TO ROU - CBG</t>
  </si>
  <si>
    <t>9I05/003</t>
  </si>
  <si>
    <t>INTEREST TO ROU - IC</t>
  </si>
  <si>
    <t>9I05/004</t>
  </si>
  <si>
    <t>INTEREST TO ROU - SL</t>
  </si>
  <si>
    <t>9I05/005</t>
  </si>
  <si>
    <t>INTEREST TO ROU - SW</t>
  </si>
  <si>
    <t>9I05/006</t>
  </si>
  <si>
    <t>INTEREST TO ROU - NP</t>
  </si>
  <si>
    <t>9I05/008</t>
  </si>
  <si>
    <t>INTEREST TO ROU - BBCS</t>
  </si>
  <si>
    <t>9I05/009</t>
  </si>
  <si>
    <t>INTEREST TO ROU - GW</t>
  </si>
  <si>
    <t>9I05/010</t>
  </si>
  <si>
    <t>INTEREST TO ROU - EKT</t>
  </si>
  <si>
    <t>9I05/011</t>
  </si>
  <si>
    <t>INTEREST TO ROU - SGW</t>
  </si>
  <si>
    <t>9I05/012</t>
  </si>
  <si>
    <t>INTEREST TO ROU - DEM</t>
  </si>
  <si>
    <t>9I05/013</t>
  </si>
  <si>
    <t>INTEREST TO ROU - FD</t>
  </si>
  <si>
    <t>9I05/014</t>
  </si>
  <si>
    <t>INTEREST TO ROU - SBV</t>
  </si>
  <si>
    <t>9I05/097</t>
  </si>
  <si>
    <t>INTEREST TO ROU - 7BL</t>
  </si>
  <si>
    <t>9I05/098</t>
  </si>
  <si>
    <t>INTEREST TO ROU - HQ</t>
  </si>
  <si>
    <t>9I05/099</t>
  </si>
  <si>
    <t>INTEREST TO ROU - VAN</t>
  </si>
  <si>
    <t>9S03/017</t>
  </si>
  <si>
    <t>SOUTH BUONA VISTA - PART TIMER</t>
  </si>
  <si>
    <t>9T01/003</t>
  </si>
  <si>
    <t>TRANSPORT - IC</t>
  </si>
  <si>
    <t>9T06/000</t>
  </si>
  <si>
    <t>TAKE OVER FEE</t>
  </si>
  <si>
    <t>[BnC-9T06] BnC Take Over</t>
  </si>
  <si>
    <t>YTD Dec Profit</t>
  </si>
  <si>
    <t>minus Dec MTD Profit</t>
  </si>
  <si>
    <t>TRIAL BALANCE - FOR THE MONTH OF DECEMBER 2021</t>
  </si>
  <si>
    <t>Cash and bank balances</t>
  </si>
  <si>
    <t>Trade and other receivables</t>
  </si>
  <si>
    <t>Inventories</t>
  </si>
  <si>
    <t>XXXXXX</t>
  </si>
  <si>
    <t>Property, plant and equipment</t>
  </si>
  <si>
    <t>Right-of-use assets</t>
  </si>
  <si>
    <t>Intangible assets</t>
  </si>
  <si>
    <t>Goodwill</t>
  </si>
  <si>
    <t>Trade and other payables</t>
  </si>
  <si>
    <t>Provisions</t>
  </si>
  <si>
    <t>Bank borrowings</t>
  </si>
  <si>
    <t>Lease liabilities</t>
  </si>
  <si>
    <t>Income tax payables</t>
  </si>
  <si>
    <t>Non-controlling interests</t>
  </si>
  <si>
    <t>Share capital</t>
  </si>
  <si>
    <t>Retained earnings</t>
  </si>
  <si>
    <t>Revenue</t>
  </si>
  <si>
    <t>Cost of sales</t>
  </si>
  <si>
    <t>Salaries and payroll expenses</t>
  </si>
  <si>
    <t>Selling and marketing expenses</t>
  </si>
  <si>
    <t>Distribution and logistic cost</t>
  </si>
  <si>
    <t>General and administrative cost</t>
  </si>
  <si>
    <t>Depreciation and amortisation</t>
  </si>
  <si>
    <t>Witholding tax</t>
  </si>
  <si>
    <t>Interest expense</t>
  </si>
  <si>
    <t>Other income</t>
  </si>
  <si>
    <t>Commonwealth Concepts Group</t>
  </si>
  <si>
    <t>Profit and Loss</t>
  </si>
  <si>
    <t>$’000</t>
  </si>
  <si>
    <t>Gross Profit</t>
  </si>
  <si>
    <t>Other items of income</t>
  </si>
  <si>
    <t>Other items of expense</t>
  </si>
  <si>
    <t>Profit/(loss) before tax from continuing operations</t>
  </si>
  <si>
    <t>PROFIT/(LOSS)</t>
  </si>
  <si>
    <t>Balance Sheet</t>
  </si>
  <si>
    <t>ASSETS</t>
  </si>
  <si>
    <t>Non-current assets</t>
  </si>
  <si>
    <t>Current assets</t>
  </si>
  <si>
    <t>Total non-current assets</t>
  </si>
  <si>
    <t>Total current assets</t>
  </si>
  <si>
    <t>Total assets</t>
  </si>
  <si>
    <t>EQUITY AND LIABILITIES</t>
  </si>
  <si>
    <t>Equity</t>
  </si>
  <si>
    <t>Equity attributable to owners of the parent</t>
  </si>
  <si>
    <t>Total equity</t>
  </si>
  <si>
    <t>Non-current liabilities</t>
  </si>
  <si>
    <t>Current liabilities</t>
  </si>
  <si>
    <t>Total non-current liabilities</t>
  </si>
  <si>
    <t>Total current liabilities</t>
  </si>
  <si>
    <t>Total equity and liabilities</t>
  </si>
  <si>
    <t>Profit attributable to:</t>
  </si>
  <si>
    <t>Owners of the parent</t>
  </si>
  <si>
    <t>9I03/000</t>
  </si>
  <si>
    <t>INCOME TAX EXPENSE</t>
  </si>
  <si>
    <t>[9I03/000] BnC INCOME TAX EXPENSE</t>
  </si>
  <si>
    <t>Income Tax</t>
  </si>
  <si>
    <t>MTD  Dec PnL Loss</t>
  </si>
  <si>
    <t>YTD Dec PnL Profit</t>
  </si>
  <si>
    <t>Remove Dividend</t>
  </si>
  <si>
    <t>YTD Nov Profit (disregarding dividend paid)</t>
  </si>
  <si>
    <t>YTD Dec PnL Profit (ignoring dividend)</t>
  </si>
  <si>
    <t>Recon:</t>
  </si>
  <si>
    <t>Consolidated Cashflow</t>
  </si>
  <si>
    <t>Operating activities</t>
  </si>
  <si>
    <t>Loss before income tax</t>
  </si>
  <si>
    <t>Adjustments for:</t>
  </si>
  <si>
    <t>Impairment of Goodwill</t>
  </si>
  <si>
    <t>Impairment of property, plant and equipment</t>
  </si>
  <si>
    <t>Gain/(loss) on disposal of property, plant and equipment</t>
  </si>
  <si>
    <t>Fair vale gain on investment properties</t>
  </si>
  <si>
    <t>Interest income</t>
  </si>
  <si>
    <t>Dividend income</t>
  </si>
  <si>
    <t>Unrealised exchange difference</t>
  </si>
  <si>
    <t>Share of profit of associates</t>
  </si>
  <si>
    <t>Share of profit of joint venture</t>
  </si>
  <si>
    <t>Operating cash flows before movements in working capital:</t>
  </si>
  <si>
    <t>Trade and other receivables, and contract assets</t>
  </si>
  <si>
    <t>Other current asset</t>
  </si>
  <si>
    <t>Trade and Other payables, and contract liabilities</t>
  </si>
  <si>
    <t>Cash generated from operations</t>
  </si>
  <si>
    <t>Interest Income</t>
  </si>
  <si>
    <t>Income taxes paid</t>
  </si>
  <si>
    <t>Net cash from operating activities</t>
  </si>
  <si>
    <t>Investing activities</t>
  </si>
  <si>
    <t>Proceeds from disposal of property, plant and equipment</t>
  </si>
  <si>
    <t>Purchase of property, plant and equipment</t>
  </si>
  <si>
    <t>Acquisition of subsidiary, net of cash acquired</t>
  </si>
  <si>
    <t>Additions to intangible asset</t>
  </si>
  <si>
    <t>Additions to right-of-use assets</t>
  </si>
  <si>
    <t>Purchases of financial assets at FVOCI</t>
  </si>
  <si>
    <t>Dividends received from financial assets at FVOCI</t>
  </si>
  <si>
    <t>Net cash used in investing activities</t>
  </si>
  <si>
    <t>Financing activities</t>
  </si>
  <si>
    <t>Proceeds from issue of shares</t>
  </si>
  <si>
    <t>Purchase of treasury shares</t>
  </si>
  <si>
    <t>Proceeds from borrowings</t>
  </si>
  <si>
    <t>Repayment of borrowings</t>
  </si>
  <si>
    <t>Repayment of obligations under leases</t>
  </si>
  <si>
    <t>Decrease in short-term deposits pledged</t>
  </si>
  <si>
    <t>Dividends paid to owners of the parent</t>
  </si>
  <si>
    <t>Interest paid</t>
  </si>
  <si>
    <t>Net cash used in financing activities</t>
  </si>
  <si>
    <t>Net change in cash and cash equivalents</t>
  </si>
  <si>
    <t>Cash and cash equivalents at beginning of year</t>
  </si>
  <si>
    <t>Effect of foreign exchange rate changes on cash and cash equivalents</t>
  </si>
  <si>
    <t>Cash and cash equivalents at end of year</t>
  </si>
  <si>
    <t>FY21</t>
  </si>
  <si>
    <t>FY21 Consol TB</t>
  </si>
  <si>
    <t>Proceeds from disposal of financial assets at FVOCI</t>
  </si>
  <si>
    <t>Jan</t>
  </si>
  <si>
    <t>Feb</t>
  </si>
  <si>
    <t>Mar</t>
  </si>
  <si>
    <t>Apr</t>
  </si>
  <si>
    <t>May</t>
  </si>
  <si>
    <t>Jun</t>
  </si>
  <si>
    <t>Jul</t>
  </si>
  <si>
    <t>Aug</t>
  </si>
  <si>
    <t>Sep</t>
  </si>
  <si>
    <t>Oct</t>
  </si>
  <si>
    <t>Nov</t>
  </si>
  <si>
    <t>Dec</t>
  </si>
  <si>
    <t>Adjustment to FY20 retained earnings (Before Acq)</t>
  </si>
  <si>
    <t>Dividend paid in 2021 (Before acq)</t>
  </si>
  <si>
    <r>
      <t xml:space="preserve">Profits in 2021 </t>
    </r>
    <r>
      <rPr>
        <u/>
        <sz val="11"/>
        <color theme="1"/>
        <rFont val="Calibri"/>
        <family val="2"/>
        <scheme val="minor"/>
      </rPr>
      <t>BEFORE</t>
    </r>
    <r>
      <rPr>
        <sz val="11"/>
        <color theme="1"/>
        <rFont val="Calibri"/>
        <family val="2"/>
        <scheme val="minor"/>
      </rPr>
      <t xml:space="preserve"> Acq</t>
    </r>
  </si>
  <si>
    <r>
      <t xml:space="preserve">Loss in 2021 </t>
    </r>
    <r>
      <rPr>
        <u/>
        <sz val="11"/>
        <color theme="1"/>
        <rFont val="Calibri"/>
        <family val="2"/>
        <scheme val="minor"/>
      </rPr>
      <t>AFTER</t>
    </r>
    <r>
      <rPr>
        <sz val="11"/>
        <color theme="1"/>
        <rFont val="Calibri"/>
        <family val="2"/>
        <scheme val="minor"/>
      </rPr>
      <t xml:space="preserve"> Acq</t>
    </r>
  </si>
  <si>
    <t>Baker and Cook Profit Recon</t>
  </si>
  <si>
    <t>Profits in 2021</t>
  </si>
  <si>
    <t>TB FY21 Profits</t>
  </si>
  <si>
    <t>Confirmed to be because PnL added 2 lines for opening and closing stock</t>
  </si>
  <si>
    <t>FY20 R/E bought forward</t>
  </si>
  <si>
    <t>FY21 ending R/E</t>
  </si>
  <si>
    <r>
      <t xml:space="preserve">but </t>
    </r>
    <r>
      <rPr>
        <i/>
        <sz val="11"/>
        <color rgb="FFFF0000"/>
        <rFont val="Calibri"/>
        <family val="2"/>
        <scheme val="minor"/>
      </rPr>
      <t>TB closing stock is 111,992.03</t>
    </r>
    <r>
      <rPr>
        <i/>
        <sz val="11"/>
        <color theme="1"/>
        <rFont val="Calibri"/>
        <family val="2"/>
        <scheme val="minor"/>
      </rPr>
      <t xml:space="preserve"> and is capitalised as balance sheet item</t>
    </r>
  </si>
  <si>
    <t>but balance sheet closing stock is 157,065.20?</t>
  </si>
  <si>
    <t>R/E is tied to Balance Sheet</t>
  </si>
  <si>
    <t>TB Gross Profits</t>
  </si>
  <si>
    <t>Difference between TB and Recon/PnL</t>
  </si>
  <si>
    <t xml:space="preserve">To adjust out </t>
  </si>
  <si>
    <t>(YTD Oct Profit)*70%</t>
  </si>
  <si>
    <t>(YTD Oct Profit)*30% NCI Portion</t>
  </si>
  <si>
    <t>Dec loss*30% NCI Portion</t>
  </si>
  <si>
    <t>Dec21 Loss</t>
  </si>
  <si>
    <t>CWC Preference shares</t>
  </si>
  <si>
    <t>TRIAL BALANCE - FOR THE MONTH OF OCTOBER 2021</t>
  </si>
  <si>
    <t>4050/007</t>
  </si>
  <si>
    <t>PAYROLL CONTROL - JUL'20</t>
  </si>
  <si>
    <t>Acqusition of Subsidiary - 1st Nov 2021</t>
  </si>
  <si>
    <t>Sums to zero</t>
  </si>
  <si>
    <t>Share capital via promissory note</t>
  </si>
  <si>
    <t>Cash</t>
  </si>
  <si>
    <t>Cashflow Mapping</t>
  </si>
  <si>
    <t>Add back NCI's post-acq profit</t>
  </si>
  <si>
    <t>Adjustment to Cashflow</t>
  </si>
  <si>
    <t>Before Adj</t>
  </si>
  <si>
    <t>To post</t>
  </si>
  <si>
    <t>Accruals: NonTrade</t>
  </si>
  <si>
    <t>FA Transfer</t>
  </si>
  <si>
    <t>Kinki Reno</t>
  </si>
  <si>
    <t>Total</t>
  </si>
  <si>
    <t>To reverse from this account</t>
  </si>
  <si>
    <t>CCPL</t>
  </si>
  <si>
    <t>KLPL</t>
  </si>
  <si>
    <t>Dr</t>
  </si>
  <si>
    <t>Fixed Asset</t>
  </si>
  <si>
    <t>GL Migration/ Accruals: NonTrade</t>
  </si>
  <si>
    <t xml:space="preserve">Inventory </t>
  </si>
  <si>
    <t>Inventory Migration</t>
  </si>
  <si>
    <t>Trademark</t>
  </si>
  <si>
    <t>GL Migration</t>
  </si>
  <si>
    <t>Goodwill (Balancing)</t>
  </si>
  <si>
    <t>Cr</t>
  </si>
  <si>
    <t xml:space="preserve">Deferred Tax Liability </t>
  </si>
  <si>
    <t>Share Capital</t>
  </si>
  <si>
    <t>Project Toffee</t>
  </si>
  <si>
    <t>Final Cashflow</t>
  </si>
  <si>
    <t>Cashflow Map</t>
  </si>
  <si>
    <t>GL</t>
  </si>
  <si>
    <t>GL Name</t>
  </si>
  <si>
    <t>FY20</t>
  </si>
  <si>
    <t>Cashflow (Before adj)</t>
  </si>
  <si>
    <t>Adj</t>
  </si>
  <si>
    <t>TB FY21 - CWC</t>
  </si>
  <si>
    <t>TB FY21 - BnC</t>
  </si>
  <si>
    <t>Migrated Account</t>
  </si>
  <si>
    <t>Sch 6 Entries</t>
  </si>
  <si>
    <t>Sch 6 Adj</t>
  </si>
  <si>
    <t>Check</t>
  </si>
  <si>
    <t>Schedule 6</t>
  </si>
  <si>
    <t>Unopened Alcohol</t>
  </si>
  <si>
    <t xml:space="preserve">Inventory Migration </t>
  </si>
  <si>
    <t xml:space="preserve">Outlets Cash Float </t>
  </si>
  <si>
    <t xml:space="preserve">AP Migration </t>
  </si>
  <si>
    <t>Prepayment</t>
  </si>
  <si>
    <t xml:space="preserve">GL Migration </t>
  </si>
  <si>
    <t xml:space="preserve">Deposit </t>
  </si>
  <si>
    <t>Voucher</t>
  </si>
  <si>
    <t>Unutilised Annual Leave Prov</t>
  </si>
  <si>
    <t xml:space="preserve">Acquisition of subsidiary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</si>
</sst>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00_-;\-* #,##0.00_-;_-* &quot;-&quot;??_-;_-@_-"/>
    <numFmt numFmtId="165" formatCode="#,###,###,##0.00"/>
    <numFmt numFmtId="166" formatCode="0.0%"/>
    <numFmt numFmtId="167" formatCode="#,##0.000"/>
    <numFmt numFmtId="168" formatCode="#,##0,;\(#,##0,\)"/>
    <numFmt numFmtId="169" formatCode="_-* #,##0_-;\-* #,##0_-;_-* &quot;-&quot;??_-;_-@_-"/>
  </numFmts>
  <fonts count="41"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b/>
      <sz val="12"/>
      <color theme="1"/>
      <name val="Verdana"/>
      <family val="2"/>
    </font>
    <font>
      <sz val="10"/>
      <color theme="1"/>
      <name val="Verdana"/>
      <family val="2"/>
    </font>
    <font>
      <b/>
      <sz val="9"/>
      <color theme="1"/>
      <name val="Verdana"/>
      <family val="2"/>
    </font>
    <font>
      <b/>
      <sz val="20"/>
      <color theme="1"/>
      <name val="Calibri"/>
      <family val="2"/>
      <scheme val="minor"/>
    </font>
    <font>
      <b/>
      <sz val="15"/>
      <color theme="1"/>
      <name val="Calibri"/>
      <family val="2"/>
      <scheme val="minor"/>
    </font>
    <font>
      <b/>
      <u/>
      <sz val="11"/>
      <color theme="1"/>
      <name val="Calibri"/>
      <family val="2"/>
      <scheme val="minor"/>
    </font>
    <font>
      <b/>
      <sz val="11"/>
      <name val="Calibri"/>
      <family val="2"/>
      <scheme val="minor"/>
    </font>
    <font>
      <b/>
      <sz val="11"/>
      <color theme="1"/>
      <name val="Times New Roman"/>
      <family val="1"/>
    </font>
    <font>
      <sz val="10"/>
      <color theme="1"/>
      <name val="Times New Roman"/>
      <family val="1"/>
    </font>
    <font>
      <sz val="11"/>
      <color theme="1"/>
      <name val="Times New Roman"/>
      <family val="1"/>
    </font>
    <font>
      <sz val="10"/>
      <color theme="1"/>
      <name val="Calibri"/>
      <family val="2"/>
      <scheme val="minor"/>
    </font>
    <font>
      <sz val="9"/>
      <color theme="1"/>
      <name val="Times New Roman"/>
      <family val="1"/>
    </font>
    <font>
      <i/>
      <sz val="10"/>
      <color theme="1"/>
      <name val="Calibri"/>
      <family val="2"/>
      <scheme val="minor"/>
    </font>
    <font>
      <b/>
      <sz val="9"/>
      <color theme="1"/>
      <name val="Times New Roman"/>
      <family val="1"/>
    </font>
    <font>
      <sz val="10"/>
      <color theme="1" tint="0.499984740745262"/>
      <name val="Calibri"/>
      <family val="2"/>
      <scheme val="minor"/>
    </font>
    <font>
      <b/>
      <u/>
      <sz val="11"/>
      <color theme="1"/>
      <name val="Times New Roman"/>
      <family val="1"/>
    </font>
    <font>
      <b/>
      <sz val="12"/>
      <color rgb="FFFFC000"/>
      <name val="Times New Roman"/>
      <family val="1"/>
    </font>
    <font>
      <b/>
      <sz val="12"/>
      <color rgb="FF00B050"/>
      <name val="Times New Roman"/>
      <family val="1"/>
    </font>
    <font>
      <sz val="10"/>
      <name val="Calibri"/>
      <family val="2"/>
      <scheme val="minor"/>
    </font>
    <font>
      <sz val="10"/>
      <color rgb="FF00B050"/>
      <name val="Calibri"/>
      <family val="2"/>
      <scheme val="minor"/>
    </font>
    <font>
      <sz val="11"/>
      <color rgb="FF00B050"/>
      <name val="Calibri"/>
      <family val="2"/>
      <scheme val="minor"/>
    </font>
    <font>
      <u/>
      <sz val="10"/>
      <color theme="1"/>
      <name val="Calibri"/>
      <family val="2"/>
      <scheme val="minor"/>
    </font>
    <font>
      <b/>
      <sz val="10"/>
      <color theme="1"/>
      <name val="Times New Roman"/>
      <family val="1"/>
    </font>
    <font>
      <sz val="11"/>
      <color rgb="FF0070C0"/>
      <name val="Calibri"/>
      <family val="2"/>
      <scheme val="minor"/>
    </font>
    <font>
      <b/>
      <sz val="14"/>
      <color rgb="FF00B050"/>
      <name val="Times New Roman"/>
      <family val="1"/>
    </font>
    <font>
      <b/>
      <u val="singleAccounting"/>
      <sz val="11"/>
      <color rgb="FF0070C0"/>
      <name val="Calibri"/>
      <family val="2"/>
      <scheme val="minor"/>
    </font>
    <font>
      <b/>
      <sz val="11"/>
      <color rgb="FFFF0000"/>
      <name val="Calibri"/>
      <family val="2"/>
      <scheme val="minor"/>
    </font>
    <font>
      <i/>
      <sz val="11"/>
      <color theme="1"/>
      <name val="Calibri"/>
      <family val="2"/>
      <scheme val="minor"/>
    </font>
    <font>
      <u/>
      <sz val="11"/>
      <color theme="1"/>
      <name val="Calibri"/>
      <family val="2"/>
      <scheme val="minor"/>
    </font>
    <font>
      <i/>
      <u/>
      <sz val="11"/>
      <color theme="1"/>
      <name val="Calibri"/>
      <family val="2"/>
      <scheme val="minor"/>
    </font>
    <font>
      <i/>
      <sz val="11"/>
      <color rgb="FFFF0000"/>
      <name val="Calibri"/>
      <family val="2"/>
      <scheme val="minor"/>
    </font>
    <font>
      <sz val="10"/>
      <name val="Arial"/>
      <family val="2"/>
    </font>
    <font>
      <sz val="10"/>
      <color rgb="FFFF0000"/>
      <name val="Arial"/>
      <family val="2"/>
    </font>
    <font>
      <b/>
      <sz val="10"/>
      <color rgb="FFFF0000"/>
      <name val="Arial"/>
      <family val="2"/>
    </font>
    <font>
      <b/>
      <sz val="10"/>
      <name val="Arial"/>
      <family val="2"/>
    </font>
    <font>
      <b/>
      <u/>
      <sz val="11"/>
      <color theme="0"/>
      <name val="Calibri"/>
      <family val="2"/>
      <scheme val="minor"/>
    </font>
    <font>
      <sz val="11"/>
      <name val="Calibri"/>
      <family val="2"/>
      <scheme val="minor"/>
    </font>
  </fonts>
  <fills count="16">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rgb="FF92D050"/>
        <bgColor indexed="64"/>
      </patternFill>
    </fill>
    <fill>
      <patternFill patternType="solid">
        <fgColor rgb="FFFFFF00"/>
        <bgColor indexed="64"/>
      </patternFill>
    </fill>
    <fill>
      <patternFill patternType="solid">
        <fgColor theme="9" tint="0.39997558519241921"/>
        <bgColor indexed="64"/>
      </patternFill>
    </fill>
    <fill>
      <patternFill patternType="solid">
        <fgColor rgb="FFBE12A5"/>
        <bgColor indexed="64"/>
      </patternFill>
    </fill>
    <fill>
      <patternFill patternType="solid">
        <fgColor theme="5" tint="-0.249977111117893"/>
        <bgColor indexed="64"/>
      </patternFill>
    </fill>
    <fill>
      <patternFill patternType="solid">
        <fgColor rgb="FFFFC000"/>
        <bgColor indexed="64"/>
      </patternFill>
    </fill>
    <fill>
      <patternFill patternType="solid">
        <fgColor theme="1" tint="0.34998626667073579"/>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F0000"/>
        <bgColor indexed="64"/>
      </patternFill>
    </fill>
    <fill>
      <patternFill patternType="solid">
        <fgColor theme="5"/>
        <bgColor indexed="64"/>
      </patternFill>
    </fill>
    <fill>
      <patternFill patternType="solid">
        <fgColor theme="4" tint="0.59999389629810485"/>
        <bgColor indexed="64"/>
      </patternFill>
    </fill>
  </fills>
  <borders count="10">
    <border>
      <left/>
      <right/>
      <top/>
      <bottom/>
      <diagonal/>
    </border>
    <border>
      <left/>
      <right/>
      <top style="thin">
        <color indexed="64"/>
      </top>
      <bottom style="double">
        <color indexed="64"/>
      </bottom>
      <diagonal/>
    </border>
    <border>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s>
  <cellStyleXfs count="5">
    <xf numFmtId="0" fontId="0" fillId="0" borderId="0"/>
    <xf numFmtId="164" fontId="1"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0" borderId="0"/>
  </cellStyleXfs>
  <cellXfs count="234">
    <xf numFmtId="0" fontId="0" fillId="0" borderId="0" xfId="0"/>
    <xf numFmtId="0" fontId="0" fillId="0" borderId="1" xfId="0" applyBorder="1" applyAlignment="1">
      <alignment horizontal="center" vertical="center"/>
    </xf>
    <xf numFmtId="49" fontId="0" fillId="0" borderId="0" xfId="0" applyNumberFormat="1"/>
    <xf numFmtId="165" fontId="0" fillId="0" borderId="0" xfId="0" applyNumberFormat="1"/>
    <xf numFmtId="0" fontId="7" fillId="0" borderId="0" xfId="0" applyFont="1"/>
    <xf numFmtId="43" fontId="0" fillId="0" borderId="0" xfId="2" applyFont="1" applyAlignment="1">
      <alignment vertical="center"/>
    </xf>
    <xf numFmtId="0" fontId="8" fillId="2" borderId="0" xfId="0" applyFont="1" applyFill="1" applyAlignment="1">
      <alignment horizontal="left" vertical="center"/>
    </xf>
    <xf numFmtId="0" fontId="0" fillId="2" borderId="0" xfId="0" applyFill="1"/>
    <xf numFmtId="17" fontId="3" fillId="2" borderId="0" xfId="2" applyNumberFormat="1" applyFont="1" applyFill="1" applyAlignment="1">
      <alignment horizontal="center" vertical="center"/>
    </xf>
    <xf numFmtId="0" fontId="3" fillId="0" borderId="0" xfId="0" applyFont="1"/>
    <xf numFmtId="43" fontId="3" fillId="0" borderId="0" xfId="2" applyFont="1" applyFill="1" applyAlignment="1">
      <alignment vertical="center"/>
    </xf>
    <xf numFmtId="43" fontId="9" fillId="0" borderId="0" xfId="2" applyFont="1" applyAlignment="1">
      <alignment horizontal="center" vertical="center"/>
    </xf>
    <xf numFmtId="0" fontId="0" fillId="0" borderId="3" xfId="0" applyBorder="1"/>
    <xf numFmtId="0" fontId="8" fillId="0" borderId="0" xfId="0" applyFont="1" applyFill="1" applyAlignment="1">
      <alignment horizontal="left" vertical="center"/>
    </xf>
    <xf numFmtId="0" fontId="0" fillId="0" borderId="0" xfId="0" applyFill="1"/>
    <xf numFmtId="17" fontId="3" fillId="0" borderId="0" xfId="2" applyNumberFormat="1" applyFont="1" applyFill="1" applyAlignment="1">
      <alignment horizontal="center" vertical="center"/>
    </xf>
    <xf numFmtId="164" fontId="0" fillId="0" borderId="0" xfId="1" applyFont="1"/>
    <xf numFmtId="164" fontId="0" fillId="0" borderId="2" xfId="0" applyNumberFormat="1" applyBorder="1"/>
    <xf numFmtId="164" fontId="3" fillId="2" borderId="0" xfId="1" applyFont="1" applyFill="1" applyBorder="1" applyAlignment="1">
      <alignment horizontal="center" vertical="center"/>
    </xf>
    <xf numFmtId="164" fontId="0" fillId="0" borderId="0" xfId="1" applyFont="1" applyFill="1"/>
    <xf numFmtId="164" fontId="0" fillId="0" borderId="0" xfId="0" applyNumberFormat="1"/>
    <xf numFmtId="164" fontId="0" fillId="0" borderId="4" xfId="0" applyNumberFormat="1" applyBorder="1"/>
    <xf numFmtId="14" fontId="10" fillId="0" borderId="3" xfId="4" applyNumberFormat="1" applyFont="1" applyBorder="1" applyAlignment="1">
      <alignment horizontal="center"/>
    </xf>
    <xf numFmtId="43" fontId="10" fillId="0" borderId="3" xfId="2" applyFont="1" applyFill="1" applyBorder="1" applyAlignment="1" applyProtection="1">
      <alignment horizontal="center"/>
    </xf>
    <xf numFmtId="4" fontId="0" fillId="0" borderId="0" xfId="0" applyNumberFormat="1"/>
    <xf numFmtId="0" fontId="11" fillId="0" borderId="0" xfId="0" applyFont="1"/>
    <xf numFmtId="9" fontId="0" fillId="0" borderId="0" xfId="3" applyFont="1"/>
    <xf numFmtId="0" fontId="12" fillId="0" borderId="4" xfId="0" applyFont="1" applyBorder="1" applyAlignment="1">
      <alignment horizontal="center"/>
    </xf>
    <xf numFmtId="0" fontId="13" fillId="0" borderId="4" xfId="0" applyFont="1" applyBorder="1" applyAlignment="1">
      <alignment horizontal="center"/>
    </xf>
    <xf numFmtId="0" fontId="14" fillId="0" borderId="4" xfId="0" applyFont="1" applyBorder="1" applyAlignment="1">
      <alignment horizontal="center"/>
    </xf>
    <xf numFmtId="164" fontId="14" fillId="0" borderId="0" xfId="0" applyNumberFormat="1" applyFont="1"/>
    <xf numFmtId="164" fontId="14" fillId="0" borderId="0" xfId="1" applyFont="1"/>
    <xf numFmtId="0" fontId="17" fillId="0" borderId="0" xfId="0" applyFont="1"/>
    <xf numFmtId="166" fontId="18" fillId="0" borderId="0" xfId="3" applyNumberFormat="1" applyFont="1"/>
    <xf numFmtId="0" fontId="14" fillId="0" borderId="0" xfId="0" applyFont="1"/>
    <xf numFmtId="0" fontId="13" fillId="0" borderId="0" xfId="0" applyFont="1"/>
    <xf numFmtId="0" fontId="19" fillId="0" borderId="0" xfId="0" applyFont="1"/>
    <xf numFmtId="0" fontId="9" fillId="0" borderId="0" xfId="0" applyFont="1"/>
    <xf numFmtId="0" fontId="15" fillId="0" borderId="0" xfId="0" applyFont="1" applyProtection="1">
      <protection locked="0"/>
    </xf>
    <xf numFmtId="164" fontId="14" fillId="0" borderId="4" xfId="1" applyFont="1" applyBorder="1"/>
    <xf numFmtId="164" fontId="14" fillId="0" borderId="4" xfId="1" applyFont="1" applyFill="1" applyBorder="1"/>
    <xf numFmtId="164" fontId="0" fillId="0" borderId="4" xfId="1" applyFont="1" applyFill="1" applyBorder="1" applyProtection="1">
      <protection locked="0"/>
    </xf>
    <xf numFmtId="0" fontId="16" fillId="0" borderId="0" xfId="0" applyFont="1" applyAlignment="1">
      <alignment vertical="top" wrapText="1"/>
    </xf>
    <xf numFmtId="43" fontId="14" fillId="0" borderId="8" xfId="0" applyNumberFormat="1" applyFont="1" applyBorder="1"/>
    <xf numFmtId="164" fontId="0" fillId="0" borderId="8" xfId="1" applyFont="1" applyFill="1" applyBorder="1"/>
    <xf numFmtId="164" fontId="14" fillId="0" borderId="1" xfId="0" applyNumberFormat="1" applyFont="1" applyBorder="1"/>
    <xf numFmtId="164" fontId="0" fillId="0" borderId="1" xfId="0" applyNumberFormat="1" applyBorder="1"/>
    <xf numFmtId="0" fontId="20" fillId="0" borderId="0" xfId="0" applyFont="1"/>
    <xf numFmtId="9" fontId="20" fillId="0" borderId="0" xfId="3" applyFont="1"/>
    <xf numFmtId="0" fontId="21" fillId="0" borderId="0" xfId="0" applyFont="1"/>
    <xf numFmtId="9" fontId="21" fillId="0" borderId="0" xfId="3" applyFont="1"/>
    <xf numFmtId="166" fontId="0" fillId="0" borderId="0" xfId="3" applyNumberFormat="1" applyFont="1" applyFill="1"/>
    <xf numFmtId="164" fontId="14" fillId="0" borderId="0" xfId="1" applyFont="1" applyFill="1"/>
    <xf numFmtId="164" fontId="1" fillId="0" borderId="0" xfId="1" applyFont="1" applyFill="1" applyBorder="1" applyProtection="1">
      <protection locked="0"/>
    </xf>
    <xf numFmtId="43" fontId="0" fillId="0" borderId="0" xfId="0" applyNumberFormat="1"/>
    <xf numFmtId="43" fontId="14" fillId="0" borderId="4" xfId="1" applyNumberFormat="1" applyFont="1" applyBorder="1"/>
    <xf numFmtId="164" fontId="0" fillId="0" borderId="0" xfId="1" applyFont="1" applyFill="1" applyBorder="1" applyProtection="1">
      <protection locked="0"/>
    </xf>
    <xf numFmtId="164" fontId="22" fillId="0" borderId="4" xfId="1" applyFont="1" applyFill="1" applyBorder="1"/>
    <xf numFmtId="164" fontId="22" fillId="4" borderId="4" xfId="1" applyFont="1" applyFill="1" applyBorder="1"/>
    <xf numFmtId="164" fontId="14" fillId="0" borderId="4" xfId="1" applyFont="1" applyFill="1" applyBorder="1" applyProtection="1">
      <protection locked="0"/>
    </xf>
    <xf numFmtId="164" fontId="14" fillId="4" borderId="4" xfId="1" applyFont="1" applyFill="1" applyBorder="1"/>
    <xf numFmtId="164" fontId="14" fillId="0" borderId="0" xfId="1" applyFont="1" applyFill="1" applyBorder="1"/>
    <xf numFmtId="164" fontId="23" fillId="0" borderId="4" xfId="1" applyFont="1" applyBorder="1"/>
    <xf numFmtId="164" fontId="23" fillId="0" borderId="4" xfId="1" applyFont="1" applyFill="1" applyBorder="1"/>
    <xf numFmtId="164" fontId="24" fillId="0" borderId="4" xfId="1" applyFont="1" applyFill="1" applyBorder="1" applyProtection="1">
      <protection locked="0"/>
    </xf>
    <xf numFmtId="164" fontId="14" fillId="0" borderId="9" xfId="1" applyFont="1" applyFill="1" applyBorder="1"/>
    <xf numFmtId="164" fontId="0" fillId="0" borderId="4" xfId="1" applyFont="1" applyFill="1" applyBorder="1"/>
    <xf numFmtId="0" fontId="26" fillId="0" borderId="0" xfId="0" applyFont="1"/>
    <xf numFmtId="164" fontId="0" fillId="0" borderId="8" xfId="1" applyFont="1" applyBorder="1"/>
    <xf numFmtId="43" fontId="0" fillId="0" borderId="1" xfId="1" applyNumberFormat="1" applyFont="1" applyBorder="1"/>
    <xf numFmtId="43" fontId="27" fillId="0" borderId="0" xfId="0" applyNumberFormat="1" applyFont="1"/>
    <xf numFmtId="0" fontId="28" fillId="0" borderId="0" xfId="0" applyFont="1"/>
    <xf numFmtId="9" fontId="28" fillId="0" borderId="0" xfId="3" applyFont="1"/>
    <xf numFmtId="10" fontId="0" fillId="0" borderId="0" xfId="3" applyNumberFormat="1" applyFont="1" applyAlignment="1">
      <alignment horizontal="center"/>
    </xf>
    <xf numFmtId="9" fontId="3" fillId="0" borderId="0" xfId="3" applyFont="1"/>
    <xf numFmtId="9" fontId="11" fillId="0" borderId="0" xfId="3" applyFont="1"/>
    <xf numFmtId="9" fontId="3" fillId="0" borderId="0" xfId="3" applyFont="1" applyFill="1"/>
    <xf numFmtId="9" fontId="30" fillId="0" borderId="0" xfId="3" applyFont="1"/>
    <xf numFmtId="166" fontId="3" fillId="0" borderId="0" xfId="3" applyNumberFormat="1" applyFont="1"/>
    <xf numFmtId="166" fontId="3" fillId="0" borderId="0" xfId="3" applyNumberFormat="1" applyFont="1" applyFill="1"/>
    <xf numFmtId="0" fontId="0" fillId="5" borderId="0" xfId="0" applyFill="1"/>
    <xf numFmtId="164" fontId="0" fillId="5" borderId="0" xfId="1" applyFont="1" applyFill="1"/>
    <xf numFmtId="164" fontId="0" fillId="5" borderId="4" xfId="0" applyNumberFormat="1" applyFill="1" applyBorder="1"/>
    <xf numFmtId="164" fontId="0" fillId="0" borderId="4" xfId="1" applyFont="1" applyBorder="1"/>
    <xf numFmtId="164" fontId="0" fillId="5" borderId="4" xfId="1" applyFont="1" applyFill="1" applyBorder="1"/>
    <xf numFmtId="0" fontId="0" fillId="0" borderId="0" xfId="0" applyFont="1"/>
    <xf numFmtId="164" fontId="3" fillId="0" borderId="0" xfId="0" applyNumberFormat="1" applyFont="1"/>
    <xf numFmtId="164" fontId="3" fillId="0" borderId="8" xfId="0" applyNumberFormat="1" applyFont="1" applyBorder="1"/>
    <xf numFmtId="0" fontId="31" fillId="0" borderId="0" xfId="0" applyFont="1"/>
    <xf numFmtId="164" fontId="31" fillId="0" borderId="0" xfId="0" applyNumberFormat="1" applyFont="1"/>
    <xf numFmtId="4" fontId="3" fillId="0" borderId="0" xfId="0" applyNumberFormat="1" applyFont="1" applyBorder="1"/>
    <xf numFmtId="0" fontId="31" fillId="6" borderId="0" xfId="0" applyFont="1" applyFill="1"/>
    <xf numFmtId="164" fontId="31" fillId="6" borderId="0" xfId="0" applyNumberFormat="1" applyFont="1" applyFill="1"/>
    <xf numFmtId="0" fontId="0" fillId="0" borderId="0" xfId="0" applyFont="1" applyBorder="1"/>
    <xf numFmtId="43" fontId="1" fillId="0" borderId="0" xfId="2" applyFont="1" applyBorder="1" applyAlignment="1">
      <alignment vertical="center"/>
    </xf>
    <xf numFmtId="0" fontId="0" fillId="0" borderId="0" xfId="0" applyBorder="1"/>
    <xf numFmtId="0" fontId="3" fillId="0" borderId="0" xfId="0" applyFont="1" applyBorder="1"/>
    <xf numFmtId="49" fontId="0" fillId="0" borderId="0" xfId="0" applyNumberFormat="1" applyBorder="1"/>
    <xf numFmtId="165" fontId="0" fillId="0" borderId="0" xfId="0" applyNumberFormat="1" applyBorder="1"/>
    <xf numFmtId="0" fontId="6" fillId="0" borderId="0" xfId="0" applyFont="1" applyBorder="1"/>
    <xf numFmtId="167" fontId="0" fillId="0" borderId="0" xfId="0" applyNumberFormat="1" applyBorder="1"/>
    <xf numFmtId="167" fontId="0" fillId="0" borderId="0" xfId="0" applyNumberFormat="1"/>
    <xf numFmtId="49" fontId="0" fillId="7" borderId="0" xfId="0" applyNumberFormat="1" applyFill="1" applyBorder="1"/>
    <xf numFmtId="165" fontId="0" fillId="7" borderId="0" xfId="0" applyNumberFormat="1" applyFill="1" applyBorder="1"/>
    <xf numFmtId="0" fontId="0" fillId="7" borderId="0" xfId="0" applyFill="1"/>
    <xf numFmtId="164" fontId="0" fillId="7" borderId="0" xfId="1" applyFont="1" applyFill="1"/>
    <xf numFmtId="165" fontId="3" fillId="0" borderId="8" xfId="0" applyNumberFormat="1" applyFont="1" applyBorder="1"/>
    <xf numFmtId="0" fontId="0" fillId="0" borderId="0" xfId="0" applyAlignment="1">
      <alignment vertical="center"/>
    </xf>
    <xf numFmtId="0" fontId="2" fillId="3" borderId="0" xfId="0" applyFont="1" applyFill="1" applyAlignment="1">
      <alignment horizontal="center" vertical="center"/>
    </xf>
    <xf numFmtId="0" fontId="0" fillId="0" borderId="0" xfId="0" applyAlignment="1">
      <alignment horizontal="center" vertical="center"/>
    </xf>
    <xf numFmtId="0" fontId="7" fillId="0" borderId="0" xfId="0" applyFont="1" applyFill="1"/>
    <xf numFmtId="0" fontId="0" fillId="0" borderId="0" xfId="0" applyFill="1" applyAlignment="1">
      <alignment vertical="center"/>
    </xf>
    <xf numFmtId="0" fontId="3" fillId="0" borderId="0" xfId="0" applyFont="1" applyFill="1" applyAlignment="1">
      <alignment horizontal="center" vertical="center"/>
    </xf>
    <xf numFmtId="168" fontId="0" fillId="0" borderId="0" xfId="0" applyNumberFormat="1"/>
    <xf numFmtId="168" fontId="3" fillId="0" borderId="8" xfId="0" applyNumberFormat="1" applyFont="1" applyBorder="1"/>
    <xf numFmtId="0" fontId="3" fillId="0" borderId="0" xfId="0" applyFont="1" applyAlignment="1">
      <alignment horizontal="right"/>
    </xf>
    <xf numFmtId="168" fontId="3" fillId="0" borderId="0" xfId="0" applyNumberFormat="1" applyFont="1" applyBorder="1"/>
    <xf numFmtId="0" fontId="3" fillId="0" borderId="0" xfId="0" applyFont="1" applyFill="1" applyAlignment="1">
      <alignment vertical="center"/>
    </xf>
    <xf numFmtId="168" fontId="0" fillId="0" borderId="0" xfId="0" applyNumberFormat="1" applyAlignment="1">
      <alignment vertical="center"/>
    </xf>
    <xf numFmtId="0" fontId="3" fillId="0" borderId="0" xfId="0" applyFont="1" applyAlignment="1">
      <alignment horizontal="right" vertical="center"/>
    </xf>
    <xf numFmtId="168" fontId="3" fillId="0" borderId="8" xfId="0" applyNumberFormat="1" applyFont="1" applyFill="1" applyBorder="1" applyAlignment="1">
      <alignment horizontal="right" vertical="center"/>
    </xf>
    <xf numFmtId="0" fontId="3" fillId="0" borderId="0" xfId="0" applyFont="1" applyFill="1" applyAlignment="1">
      <alignment horizontal="right" vertical="center"/>
    </xf>
    <xf numFmtId="168" fontId="3" fillId="0" borderId="0" xfId="0" applyNumberFormat="1" applyFont="1" applyAlignment="1">
      <alignment vertical="center"/>
    </xf>
    <xf numFmtId="168" fontId="3" fillId="0" borderId="8" xfId="0" applyNumberFormat="1" applyFont="1" applyBorder="1" applyAlignment="1">
      <alignment vertical="center"/>
    </xf>
    <xf numFmtId="0" fontId="3" fillId="0" borderId="0" xfId="0" applyFont="1" applyAlignment="1">
      <alignment vertical="center"/>
    </xf>
    <xf numFmtId="168" fontId="3" fillId="0" borderId="2" xfId="0" applyNumberFormat="1" applyFont="1" applyBorder="1" applyAlignment="1">
      <alignment vertical="center"/>
    </xf>
    <xf numFmtId="168" fontId="0" fillId="0" borderId="0" xfId="0" applyNumberFormat="1" applyFont="1" applyBorder="1"/>
    <xf numFmtId="168" fontId="3" fillId="0" borderId="2" xfId="0" applyNumberFormat="1" applyFont="1" applyBorder="1"/>
    <xf numFmtId="165" fontId="0" fillId="8" borderId="0" xfId="0" applyNumberFormat="1" applyFill="1" applyBorder="1"/>
    <xf numFmtId="0" fontId="0" fillId="8" borderId="0" xfId="0" applyFill="1" applyBorder="1"/>
    <xf numFmtId="167" fontId="0" fillId="8" borderId="0" xfId="0" applyNumberFormat="1" applyFill="1" applyBorder="1"/>
    <xf numFmtId="0" fontId="3" fillId="0" borderId="0" xfId="0" applyFont="1" applyAlignment="1">
      <alignment horizontal="center" vertical="center"/>
    </xf>
    <xf numFmtId="49" fontId="0" fillId="9" borderId="0" xfId="0" applyNumberFormat="1" applyFill="1" applyBorder="1"/>
    <xf numFmtId="165" fontId="0" fillId="9" borderId="0" xfId="0" applyNumberFormat="1" applyFill="1" applyBorder="1"/>
    <xf numFmtId="0" fontId="0" fillId="9" borderId="0" xfId="0" applyFill="1"/>
    <xf numFmtId="164" fontId="0" fillId="9" borderId="0" xfId="1" applyFont="1" applyFill="1"/>
    <xf numFmtId="0" fontId="0" fillId="0" borderId="0" xfId="0" applyAlignment="1">
      <alignment horizontal="right"/>
    </xf>
    <xf numFmtId="164" fontId="3" fillId="0" borderId="8" xfId="1" applyFont="1" applyBorder="1"/>
    <xf numFmtId="0" fontId="0" fillId="0" borderId="0" xfId="0" applyFont="1" applyAlignment="1">
      <alignment horizontal="right" vertical="center"/>
    </xf>
    <xf numFmtId="164" fontId="0" fillId="0" borderId="0" xfId="0" applyNumberFormat="1" applyFont="1" applyAlignment="1">
      <alignment horizontal="right"/>
    </xf>
    <xf numFmtId="167" fontId="3" fillId="0" borderId="8" xfId="0" applyNumberFormat="1" applyFont="1" applyBorder="1"/>
    <xf numFmtId="164" fontId="0" fillId="0" borderId="0" xfId="0" applyNumberFormat="1" applyAlignment="1">
      <alignment horizontal="left"/>
    </xf>
    <xf numFmtId="164" fontId="0" fillId="12" borderId="0" xfId="1" applyFont="1" applyFill="1"/>
    <xf numFmtId="164" fontId="3" fillId="0" borderId="2" xfId="1" applyFont="1" applyBorder="1"/>
    <xf numFmtId="164" fontId="0" fillId="11" borderId="2" xfId="0" applyNumberFormat="1" applyFill="1" applyBorder="1"/>
    <xf numFmtId="164" fontId="0" fillId="0" borderId="2" xfId="0" applyNumberFormat="1" applyFill="1" applyBorder="1"/>
    <xf numFmtId="164" fontId="0" fillId="0" borderId="0" xfId="1" applyFont="1" applyAlignment="1">
      <alignment horizontal="center" vertical="center"/>
    </xf>
    <xf numFmtId="164" fontId="3" fillId="0" borderId="0" xfId="1" applyFont="1" applyAlignment="1">
      <alignment horizontal="center"/>
    </xf>
    <xf numFmtId="164" fontId="0" fillId="0" borderId="0" xfId="1" applyFont="1" applyAlignment="1">
      <alignment horizontal="center"/>
    </xf>
    <xf numFmtId="164" fontId="0" fillId="0" borderId="2" xfId="1" applyFont="1" applyBorder="1" applyAlignment="1">
      <alignment horizontal="center"/>
    </xf>
    <xf numFmtId="164" fontId="3" fillId="0" borderId="2" xfId="1" applyFont="1" applyBorder="1" applyAlignment="1">
      <alignment horizontal="center"/>
    </xf>
    <xf numFmtId="0" fontId="0" fillId="3" borderId="0" xfId="0" applyFill="1"/>
    <xf numFmtId="164" fontId="1" fillId="0" borderId="0" xfId="1" applyFont="1"/>
    <xf numFmtId="164" fontId="0" fillId="0" borderId="0" xfId="0" applyNumberFormat="1" applyFont="1"/>
    <xf numFmtId="164" fontId="31" fillId="0" borderId="0" xfId="1" applyFont="1"/>
    <xf numFmtId="0" fontId="33" fillId="0" borderId="0" xfId="0" applyFont="1"/>
    <xf numFmtId="0" fontId="34" fillId="0" borderId="0" xfId="0" applyFont="1"/>
    <xf numFmtId="49" fontId="0" fillId="13" borderId="0" xfId="0" applyNumberFormat="1" applyFill="1" applyBorder="1"/>
    <xf numFmtId="165" fontId="0" fillId="13" borderId="0" xfId="0" applyNumberFormat="1" applyFill="1" applyBorder="1"/>
    <xf numFmtId="0" fontId="0" fillId="13" borderId="0" xfId="0" applyFill="1"/>
    <xf numFmtId="164" fontId="0" fillId="13" borderId="0" xfId="1" applyFont="1" applyFill="1"/>
    <xf numFmtId="0" fontId="0" fillId="0" borderId="1" xfId="0" applyFill="1" applyBorder="1" applyAlignment="1">
      <alignment horizontal="center" vertical="center"/>
    </xf>
    <xf numFmtId="164" fontId="3" fillId="0" borderId="0" xfId="1" applyFont="1" applyFill="1" applyBorder="1" applyAlignment="1">
      <alignment horizontal="center" vertical="center"/>
    </xf>
    <xf numFmtId="49" fontId="0" fillId="0" borderId="0" xfId="0" applyNumberFormat="1" applyFill="1"/>
    <xf numFmtId="165" fontId="0" fillId="0" borderId="0" xfId="0" applyNumberFormat="1" applyFill="1"/>
    <xf numFmtId="49" fontId="0" fillId="0" borderId="0" xfId="0" applyNumberFormat="1" applyFill="1" applyBorder="1"/>
    <xf numFmtId="165" fontId="0" fillId="0" borderId="0" xfId="0" applyNumberFormat="1" applyFill="1" applyBorder="1"/>
    <xf numFmtId="164" fontId="0" fillId="5" borderId="2" xfId="0" applyNumberFormat="1" applyFill="1" applyBorder="1"/>
    <xf numFmtId="164" fontId="0" fillId="2" borderId="0" xfId="1" applyFont="1" applyFill="1"/>
    <xf numFmtId="164" fontId="0" fillId="2" borderId="0" xfId="0" applyNumberFormat="1" applyFill="1"/>
    <xf numFmtId="4" fontId="0" fillId="2" borderId="0" xfId="0" applyNumberFormat="1" applyFill="1"/>
    <xf numFmtId="3" fontId="0" fillId="0" borderId="0" xfId="0" applyNumberFormat="1"/>
    <xf numFmtId="4" fontId="0" fillId="5" borderId="0" xfId="0" applyNumberFormat="1" applyFill="1"/>
    <xf numFmtId="0" fontId="0" fillId="14" borderId="0" xfId="0" applyFill="1"/>
    <xf numFmtId="0" fontId="0" fillId="4" borderId="0" xfId="0" applyFill="1"/>
    <xf numFmtId="164" fontId="0" fillId="4" borderId="0" xfId="1" applyFont="1" applyFill="1"/>
    <xf numFmtId="164" fontId="3" fillId="0" borderId="0" xfId="1" applyFont="1" applyAlignment="1">
      <alignment horizontal="center" vertical="center"/>
    </xf>
    <xf numFmtId="164" fontId="0" fillId="0" borderId="2" xfId="1" applyFont="1" applyBorder="1" applyAlignment="1">
      <alignment horizontal="center" vertical="center"/>
    </xf>
    <xf numFmtId="0" fontId="1" fillId="0" borderId="0" xfId="4" applyAlignment="1">
      <alignment vertical="top"/>
    </xf>
    <xf numFmtId="169" fontId="36" fillId="5" borderId="0" xfId="1" applyNumberFormat="1" applyFont="1" applyFill="1" applyAlignment="1">
      <alignment vertical="top"/>
    </xf>
    <xf numFmtId="0" fontId="36" fillId="5" borderId="0" xfId="4" applyFont="1" applyFill="1" applyAlignment="1">
      <alignment vertical="top" wrapText="1"/>
    </xf>
    <xf numFmtId="169" fontId="37" fillId="0" borderId="0" xfId="1" applyNumberFormat="1" applyFont="1" applyAlignment="1">
      <alignment vertical="top"/>
    </xf>
    <xf numFmtId="169" fontId="36" fillId="0" borderId="0" xfId="1" applyNumberFormat="1" applyFont="1" applyFill="1" applyAlignment="1">
      <alignment vertical="top"/>
    </xf>
    <xf numFmtId="0" fontId="36" fillId="0" borderId="0" xfId="4" applyFont="1" applyAlignment="1">
      <alignment vertical="top"/>
    </xf>
    <xf numFmtId="164" fontId="35" fillId="0" borderId="0" xfId="1" applyFont="1" applyAlignment="1">
      <alignment vertical="top"/>
    </xf>
    <xf numFmtId="164" fontId="1" fillId="0" borderId="0" xfId="1" applyAlignment="1">
      <alignment vertical="top"/>
    </xf>
    <xf numFmtId="169" fontId="38" fillId="15" borderId="0" xfId="1" applyNumberFormat="1" applyFont="1" applyFill="1" applyAlignment="1">
      <alignment vertical="top"/>
    </xf>
    <xf numFmtId="164" fontId="35" fillId="5" borderId="0" xfId="1" applyFont="1" applyFill="1" applyAlignment="1">
      <alignment vertical="top"/>
    </xf>
    <xf numFmtId="169" fontId="36" fillId="0" borderId="0" xfId="1" applyNumberFormat="1" applyFont="1" applyAlignment="1">
      <alignment vertical="top"/>
    </xf>
    <xf numFmtId="164" fontId="35" fillId="4" borderId="0" xfId="1" applyFont="1" applyFill="1" applyAlignment="1">
      <alignment vertical="top"/>
    </xf>
    <xf numFmtId="169" fontId="38" fillId="0" borderId="0" xfId="1" applyNumberFormat="1" applyFont="1" applyAlignment="1">
      <alignment vertical="top"/>
    </xf>
    <xf numFmtId="169" fontId="0" fillId="0" borderId="0" xfId="0" applyNumberFormat="1"/>
    <xf numFmtId="0" fontId="39" fillId="10" borderId="0" xfId="0" applyFont="1" applyFill="1"/>
    <xf numFmtId="0" fontId="39" fillId="0" borderId="0" xfId="0" applyFont="1" applyFill="1"/>
    <xf numFmtId="0" fontId="39" fillId="10" borderId="0" xfId="0" applyFont="1" applyFill="1" applyAlignment="1">
      <alignment horizontal="center" vertical="center"/>
    </xf>
    <xf numFmtId="164" fontId="0" fillId="12" borderId="0" xfId="1" applyFont="1" applyFill="1" applyAlignment="1">
      <alignment horizontal="center" vertical="center"/>
    </xf>
    <xf numFmtId="0" fontId="39" fillId="0" borderId="0" xfId="0" applyFont="1" applyFill="1" applyAlignment="1">
      <alignment horizontal="center" vertical="center"/>
    </xf>
    <xf numFmtId="164" fontId="39" fillId="10" borderId="0" xfId="1" applyFont="1" applyFill="1" applyAlignment="1">
      <alignment horizontal="center" vertical="center"/>
    </xf>
    <xf numFmtId="164" fontId="39" fillId="0" borderId="0" xfId="1" applyFont="1" applyFill="1" applyAlignment="1">
      <alignment horizontal="center" vertical="center"/>
    </xf>
    <xf numFmtId="164" fontId="40" fillId="0" borderId="0" xfId="1" applyFont="1" applyFill="1" applyAlignment="1">
      <alignment horizontal="center" vertical="center"/>
    </xf>
    <xf numFmtId="0" fontId="0" fillId="0" borderId="0" xfId="0" applyFont="1" applyFill="1"/>
    <xf numFmtId="164" fontId="40" fillId="12" borderId="0" xfId="1" applyFont="1" applyFill="1" applyAlignment="1">
      <alignment horizontal="center" vertical="center"/>
    </xf>
    <xf numFmtId="164" fontId="3" fillId="0" borderId="2" xfId="0" applyNumberFormat="1" applyFont="1" applyBorder="1" applyAlignment="1">
      <alignment horizontal="center" vertical="center"/>
    </xf>
    <xf numFmtId="164" fontId="0" fillId="0" borderId="0" xfId="1" applyFont="1" applyFill="1" applyAlignment="1">
      <alignment horizontal="center" vertical="center"/>
    </xf>
    <xf numFmtId="164" fontId="3" fillId="0" borderId="2" xfId="1" applyFont="1" applyBorder="1" applyAlignment="1">
      <alignment horizontal="center" vertical="center"/>
    </xf>
    <xf numFmtId="17" fontId="1" fillId="0" borderId="0" xfId="4" applyNumberFormat="1" applyAlignment="1">
      <alignment horizontal="left" vertical="top"/>
    </xf>
    <xf numFmtId="169" fontId="35" fillId="5" borderId="0" xfId="1" applyNumberFormat="1" applyFont="1" applyFill="1" applyAlignment="1">
      <alignment vertical="top"/>
    </xf>
    <xf numFmtId="169" fontId="35" fillId="0" borderId="0" xfId="1" applyNumberFormat="1" applyFont="1" applyAlignment="1">
      <alignment vertical="top"/>
    </xf>
    <xf numFmtId="0" fontId="8" fillId="2" borderId="0" xfId="0" applyFont="1" applyFill="1" applyAlignment="1">
      <alignment horizontal="center" vertical="center"/>
    </xf>
    <xf numFmtId="0" fontId="0" fillId="0" borderId="0" xfId="0" applyAlignment="1">
      <alignment horizontal="center"/>
    </xf>
    <xf numFmtId="0" fontId="2" fillId="10" borderId="0" xfId="0" applyFont="1" applyFill="1" applyAlignment="1">
      <alignment horizontal="center"/>
    </xf>
    <xf numFmtId="0" fontId="0" fillId="2" borderId="0" xfId="0" applyFill="1" applyAlignment="1">
      <alignment horizontal="center" vertical="center"/>
    </xf>
    <xf numFmtId="0" fontId="4" fillId="0" borderId="0" xfId="0" applyFont="1" applyFill="1" applyAlignment="1">
      <alignment horizontal="center" vertical="center"/>
    </xf>
    <xf numFmtId="0" fontId="5" fillId="0" borderId="0" xfId="0" quotePrefix="1" applyFont="1" applyFill="1" applyAlignment="1">
      <alignment horizontal="center" vertical="center"/>
    </xf>
    <xf numFmtId="0" fontId="4" fillId="0" borderId="0" xfId="0" applyFont="1" applyAlignment="1">
      <alignment horizontal="center" vertical="center"/>
    </xf>
    <xf numFmtId="0" fontId="5" fillId="0" borderId="0" xfId="0" quotePrefix="1" applyFont="1" applyAlignment="1">
      <alignment horizontal="center" vertical="center"/>
    </xf>
    <xf numFmtId="0" fontId="16" fillId="0" borderId="0" xfId="0" applyFont="1" applyAlignment="1">
      <alignment horizontal="left" vertical="top" wrapText="1"/>
    </xf>
    <xf numFmtId="0" fontId="14" fillId="0" borderId="0" xfId="0" applyFont="1" applyAlignment="1">
      <alignment horizontal="left" vertical="top" wrapText="1"/>
    </xf>
    <xf numFmtId="2" fontId="27" fillId="0" borderId="0" xfId="0" applyNumberFormat="1" applyFont="1" applyAlignment="1">
      <alignment horizontal="left" vertical="top" wrapText="1"/>
    </xf>
    <xf numFmtId="2" fontId="27" fillId="0" borderId="0" xfId="0" applyNumberFormat="1" applyFont="1" applyAlignment="1">
      <alignment horizontal="left" vertical="top"/>
    </xf>
    <xf numFmtId="0" fontId="16" fillId="0" borderId="0" xfId="0" applyFont="1" applyAlignment="1">
      <alignment horizontal="left" vertical="center"/>
    </xf>
    <xf numFmtId="17" fontId="12" fillId="0" borderId="5" xfId="0" applyNumberFormat="1" applyFont="1" applyBorder="1" applyAlignment="1">
      <alignment horizontal="center"/>
    </xf>
    <xf numFmtId="17" fontId="12" fillId="0" borderId="6" xfId="0" applyNumberFormat="1" applyFont="1" applyBorder="1" applyAlignment="1">
      <alignment horizontal="center"/>
    </xf>
    <xf numFmtId="17" fontId="12" fillId="0" borderId="7" xfId="0" applyNumberFormat="1" applyFont="1" applyBorder="1" applyAlignment="1">
      <alignment horizontal="center"/>
    </xf>
    <xf numFmtId="0" fontId="16" fillId="0" borderId="0" xfId="0" applyFont="1" applyAlignment="1">
      <alignment horizontal="left" vertical="top"/>
    </xf>
    <xf numFmtId="0" fontId="16" fillId="0" borderId="0" xfId="0" applyFont="1" applyAlignment="1">
      <alignment horizontal="left" wrapText="1"/>
    </xf>
    <xf numFmtId="0" fontId="7" fillId="3" borderId="0" xfId="0" applyFont="1" applyFill="1"/>
    <xf numFmtId="43" fontId="0" fillId="3" borderId="0" xfId="2" applyFont="1" applyFill="1" applyAlignment="1">
      <alignment vertical="center"/>
    </xf>
    <xf numFmtId="17" fontId="3" fillId="3" borderId="0" xfId="2" applyNumberFormat="1" applyFont="1" applyFill="1" applyAlignment="1">
      <alignment horizontal="center" vertical="center"/>
    </xf>
    <xf numFmtId="17" fontId="3" fillId="3" borderId="4" xfId="2" applyNumberFormat="1" applyFont="1" applyFill="1" applyBorder="1" applyAlignment="1">
      <alignment horizontal="center" vertical="center"/>
    </xf>
    <xf numFmtId="0" fontId="9" fillId="3" borderId="0" xfId="0" applyFont="1" applyFill="1"/>
    <xf numFmtId="0" fontId="5" fillId="3" borderId="0" xfId="0" applyFont="1" applyFill="1" applyAlignment="1">
      <alignment horizontal="left" vertical="center"/>
    </xf>
    <xf numFmtId="0" fontId="3" fillId="3" borderId="0" xfId="0" applyFont="1" applyFill="1" applyAlignment="1">
      <alignment horizontal="center"/>
    </xf>
    <xf numFmtId="0" fontId="3" fillId="3" borderId="0" xfId="0" applyFont="1" applyFill="1"/>
  </cellXfs>
  <cellStyles count="5">
    <cellStyle name="Comma" xfId="1" builtinId="3"/>
    <cellStyle name="Comma 2" xfId="2" xr:uid="{C0E750D8-469B-4DF4-BB15-22943E6D36B7}"/>
    <cellStyle name="Normal" xfId="0" builtinId="0"/>
    <cellStyle name="Normal 2" xfId="4" xr:uid="{7DAEBA68-AAF3-4AC8-A6F2-F39BF3C61CB8}"/>
    <cellStyle name="Percent" xfId="3" builtinId="5"/>
  </cellStyles>
  <dxfs count="0"/>
  <tableStyles count="0" defaultTableStyle="TableStyleMedium2" defaultPivotStyle="PivotStyleLight16"/>
  <colors>
    <mruColors>
      <color rgb="FFEA16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theme" Target="theme/theme1.xml"/><Relationship Id="rId21" Type="http://schemas.openxmlformats.org/officeDocument/2006/relationships/externalLink" Target="externalLinks/externalLink4.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29"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7.xml"/><Relationship Id="rId32" Type="http://schemas.microsoft.com/office/2017/06/relationships/rdRichValueTypes" Target="richData/rdRichValueTypes.xml"/><Relationship Id="rId37"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sharedStrings" Target="sharedStrings.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externalLink" Target="externalLinks/externalLink2.xml"/><Relationship Id="rId31" Type="http://schemas.microsoft.com/office/2017/06/relationships/rdRichValueStructure" Target="richData/rdrichvaluestructur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styles" Target="styles.xml"/><Relationship Id="rId30" Type="http://schemas.microsoft.com/office/2017/06/relationships/rdRichValue" Target="richData/rdrichvalue.xml"/><Relationship Id="rId35"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11</xdr:col>
      <xdr:colOff>38100</xdr:colOff>
      <xdr:row>0</xdr:row>
      <xdr:rowOff>133350</xdr:rowOff>
    </xdr:from>
    <xdr:to>
      <xdr:col>30</xdr:col>
      <xdr:colOff>57746</xdr:colOff>
      <xdr:row>15</xdr:row>
      <xdr:rowOff>95390</xdr:rowOff>
    </xdr:to>
    <xdr:pic>
      <xdr:nvPicPr>
        <xdr:cNvPr id="2" name="Picture 1">
          <a:extLst>
            <a:ext uri="{FF2B5EF4-FFF2-40B4-BE49-F238E27FC236}">
              <a16:creationId xmlns:a16="http://schemas.microsoft.com/office/drawing/2014/main" id="{FE00B883-910E-0CA6-026F-479F89AD2D6F}"/>
            </a:ext>
          </a:extLst>
        </xdr:cNvPr>
        <xdr:cNvPicPr>
          <a:picLocks noChangeAspect="1"/>
        </xdr:cNvPicPr>
      </xdr:nvPicPr>
      <xdr:blipFill>
        <a:blip xmlns:r="http://schemas.openxmlformats.org/officeDocument/2006/relationships" r:embed="rId1"/>
        <a:stretch>
          <a:fillRect/>
        </a:stretch>
      </xdr:blipFill>
      <xdr:spPr>
        <a:xfrm>
          <a:off x="10750550" y="133350"/>
          <a:ext cx="11602046" cy="27242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42</xdr:col>
      <xdr:colOff>222250</xdr:colOff>
      <xdr:row>5</xdr:row>
      <xdr:rowOff>111736</xdr:rowOff>
    </xdr:from>
    <xdr:to>
      <xdr:col>52</xdr:col>
      <xdr:colOff>165461</xdr:colOff>
      <xdr:row>18</xdr:row>
      <xdr:rowOff>63640</xdr:rowOff>
    </xdr:to>
    <xdr:pic>
      <xdr:nvPicPr>
        <xdr:cNvPr id="2" name="Picture 1">
          <a:extLst>
            <a:ext uri="{FF2B5EF4-FFF2-40B4-BE49-F238E27FC236}">
              <a16:creationId xmlns:a16="http://schemas.microsoft.com/office/drawing/2014/main" id="{FCDF3DCF-C7A2-6B51-754A-73F4F501D2A9}"/>
            </a:ext>
          </a:extLst>
        </xdr:cNvPr>
        <xdr:cNvPicPr>
          <a:picLocks noChangeAspect="1"/>
        </xdr:cNvPicPr>
      </xdr:nvPicPr>
      <xdr:blipFill>
        <a:blip xmlns:r="http://schemas.openxmlformats.org/officeDocument/2006/relationships" r:embed="rId1"/>
        <a:stretch>
          <a:fillRect/>
        </a:stretch>
      </xdr:blipFill>
      <xdr:spPr>
        <a:xfrm>
          <a:off x="19030950" y="1013436"/>
          <a:ext cx="6039211" cy="2345854"/>
        </a:xfrm>
        <a:prstGeom prst="rect">
          <a:avLst/>
        </a:prstGeom>
      </xdr:spPr>
    </xdr:pic>
    <xdr:clientData/>
  </xdr:twoCellAnchor>
  <xdr:twoCellAnchor editAs="oneCell">
    <xdr:from>
      <xdr:col>42</xdr:col>
      <xdr:colOff>222250</xdr:colOff>
      <xdr:row>30</xdr:row>
      <xdr:rowOff>133350</xdr:rowOff>
    </xdr:from>
    <xdr:to>
      <xdr:col>50</xdr:col>
      <xdr:colOff>476514</xdr:colOff>
      <xdr:row>47</xdr:row>
      <xdr:rowOff>127161</xdr:rowOff>
    </xdr:to>
    <xdr:pic>
      <xdr:nvPicPr>
        <xdr:cNvPr id="3" name="Picture 2">
          <a:extLst>
            <a:ext uri="{FF2B5EF4-FFF2-40B4-BE49-F238E27FC236}">
              <a16:creationId xmlns:a16="http://schemas.microsoft.com/office/drawing/2014/main" id="{BDF39823-C540-9915-C765-7B1D1EE42CA6}"/>
            </a:ext>
          </a:extLst>
        </xdr:cNvPr>
        <xdr:cNvPicPr>
          <a:picLocks noChangeAspect="1"/>
        </xdr:cNvPicPr>
      </xdr:nvPicPr>
      <xdr:blipFill>
        <a:blip xmlns:r="http://schemas.openxmlformats.org/officeDocument/2006/relationships" r:embed="rId2"/>
        <a:stretch>
          <a:fillRect/>
        </a:stretch>
      </xdr:blipFill>
      <xdr:spPr>
        <a:xfrm>
          <a:off x="19030950" y="5638800"/>
          <a:ext cx="5131064" cy="3124361"/>
        </a:xfrm>
        <a:prstGeom prst="rect">
          <a:avLst/>
        </a:prstGeom>
      </xdr:spPr>
    </xdr:pic>
    <xdr:clientData/>
  </xdr:twoCellAnchor>
  <xdr:twoCellAnchor editAs="oneCell">
    <xdr:from>
      <xdr:col>42</xdr:col>
      <xdr:colOff>222250</xdr:colOff>
      <xdr:row>1</xdr:row>
      <xdr:rowOff>6350</xdr:rowOff>
    </xdr:from>
    <xdr:to>
      <xdr:col>57</xdr:col>
      <xdr:colOff>476733</xdr:colOff>
      <xdr:row>5</xdr:row>
      <xdr:rowOff>146094</xdr:rowOff>
    </xdr:to>
    <xdr:pic>
      <xdr:nvPicPr>
        <xdr:cNvPr id="4" name="Picture 3">
          <a:extLst>
            <a:ext uri="{FF2B5EF4-FFF2-40B4-BE49-F238E27FC236}">
              <a16:creationId xmlns:a16="http://schemas.microsoft.com/office/drawing/2014/main" id="{89466F66-D01E-14AE-552A-670473013578}"/>
            </a:ext>
          </a:extLst>
        </xdr:cNvPr>
        <xdr:cNvPicPr>
          <a:picLocks noChangeAspect="1"/>
        </xdr:cNvPicPr>
      </xdr:nvPicPr>
      <xdr:blipFill>
        <a:blip xmlns:r="http://schemas.openxmlformats.org/officeDocument/2006/relationships" r:embed="rId3"/>
        <a:stretch>
          <a:fillRect/>
        </a:stretch>
      </xdr:blipFill>
      <xdr:spPr>
        <a:xfrm>
          <a:off x="19030950" y="190500"/>
          <a:ext cx="9398483" cy="857294"/>
        </a:xfrm>
        <a:prstGeom prst="rect">
          <a:avLst/>
        </a:prstGeom>
      </xdr:spPr>
    </xdr:pic>
    <xdr:clientData/>
  </xdr:twoCellAnchor>
  <xdr:twoCellAnchor editAs="oneCell">
    <xdr:from>
      <xdr:col>42</xdr:col>
      <xdr:colOff>222250</xdr:colOff>
      <xdr:row>25</xdr:row>
      <xdr:rowOff>95250</xdr:rowOff>
    </xdr:from>
    <xdr:to>
      <xdr:col>57</xdr:col>
      <xdr:colOff>476733</xdr:colOff>
      <xdr:row>30</xdr:row>
      <xdr:rowOff>31794</xdr:rowOff>
    </xdr:to>
    <xdr:pic>
      <xdr:nvPicPr>
        <xdr:cNvPr id="5" name="Picture 4">
          <a:extLst>
            <a:ext uri="{FF2B5EF4-FFF2-40B4-BE49-F238E27FC236}">
              <a16:creationId xmlns:a16="http://schemas.microsoft.com/office/drawing/2014/main" id="{57C4788B-C00F-4EC5-8335-DC32767A8CB1}"/>
            </a:ext>
          </a:extLst>
        </xdr:cNvPr>
        <xdr:cNvPicPr>
          <a:picLocks noChangeAspect="1"/>
        </xdr:cNvPicPr>
      </xdr:nvPicPr>
      <xdr:blipFill>
        <a:blip xmlns:r="http://schemas.openxmlformats.org/officeDocument/2006/relationships" r:embed="rId3"/>
        <a:stretch>
          <a:fillRect/>
        </a:stretch>
      </xdr:blipFill>
      <xdr:spPr>
        <a:xfrm>
          <a:off x="19030950" y="4679950"/>
          <a:ext cx="9398483" cy="8572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Ophfs02\hss$\RECURRING%20INCOME%20-%20CONSO\Recurring%20Income%20-%20GL\JV%20Templates\RBG\2009\2009-07\RBG%20ACCRUAL%20OR%20REVERSAL%200907%2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Ophfs02\hss$\vicu\_Wati%20&amp;%20Eileen%20&amp;%20Sharon\200805%20JV%20Giro%20&amp;%20Adj%20RBG%20Eile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Ophfs02\hss$\Recurring%20Income%20-%20GL\JV%20Templates\AGENT%20COMM\Agent%20Commission%20Accrual%202008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Ophfs02\hss$\RECURRING%20INCOME%20-%20CONSO\Recurring%20Income%20-%20GL\JV%20Templates\RBG\2009\2009-05\RETAIL%20JV%20TEMPLATE%20080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Ophfs02\hss$\vicu\_Wati%20&amp;%20Eileen%20&amp;%20Sharon\Agent%20Commission%20Accrual%2020080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phfs02\hss$\Documents%20and%20Settings\pennylim\My%20Documents\Journal%20Vouchers\March\Journal%20Vouchers%20-%20AL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BL\Others\Creditor%20Outstanding%20Balance.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Ophfs02\hss$\Documents%20and%20Settings\pennylim\My%20Documents\Journal%20Vouchers\Yr%202006\April\Posted\Journal%20Vouchers%20-%20JV%2007-02%20(Gir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taticData"/>
      <sheetName val="Accrual or reversal"/>
      <sheetName val="TCEN05-To rev on YE Dec09"/>
      <sheetName val="Ls_AgXLB_WorkbookFile"/>
      <sheetName val="Ls_XLB_WorkbookFile"/>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ndor"/>
      <sheetName val="CoA"/>
      <sheetName val="INDEX"/>
      <sheetName val="StaticData"/>
      <sheetName val="GiroExclPP(HSBC)&amp;FESq"/>
      <sheetName val="Ls_AgXLB_WorkbookFile"/>
      <sheetName val="Ls_XLB_WorkbookFile"/>
    </sheetNames>
    <sheetDataSet>
      <sheetData sheetId="0" refreshError="1"/>
      <sheetData sheetId="1" refreshError="1"/>
      <sheetData sheetId="2" refreshError="1"/>
      <sheetData sheetId="3" refreshError="1">
        <row r="11">
          <cell r="C11" t="str">
            <v>RBG</v>
          </cell>
        </row>
      </sheetData>
      <sheetData sheetId="4"/>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taticData"/>
      <sheetName val="BSP Agent Comm"/>
      <sheetName val="RBG Agent Comm"/>
      <sheetName val="SLC Agent Comm"/>
      <sheetName val="Ls_AgXLB_WorkbookFile"/>
      <sheetName val="Ls_XLB_WorkbookFile"/>
    </sheetNames>
    <sheetDataSet>
      <sheetData sheetId="0" refreshError="1"/>
      <sheetData sheetId="1" refreshError="1">
        <row r="3">
          <cell r="C3" t="str">
            <v>04/2008</v>
          </cell>
        </row>
      </sheetData>
      <sheetData sheetId="2" refreshError="1"/>
      <sheetData sheetId="3" refreshError="1"/>
      <sheetData sheetId="4" refreshError="1"/>
      <sheetData sheetId="5" refreshError="1"/>
      <sheetData sheetId="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taticData"/>
      <sheetName val="INTERCO DEBIT NOTES"/>
      <sheetName val="ADV SP"/>
      <sheetName val="REV -Exp"/>
      <sheetName val="RECLASSIFICATION"/>
      <sheetName val="BAC-MGT FEE"/>
      <sheetName val="ACC-AUDIT FEE"/>
      <sheetName val="ACC-MCST FUND"/>
      <sheetName val="ACC-PROPERTY TAX "/>
      <sheetName val="INSURANCE"/>
      <sheetName val="UTILITIES"/>
      <sheetName val="REV  PPYMT"/>
      <sheetName val="ACC-LEGAL COST"/>
      <sheetName val="REV JV"/>
      <sheetName val="RECLASS "/>
      <sheetName val="EXP CLAIM"/>
      <sheetName val="ADJUSTMENT &amp; GIRO"/>
      <sheetName val="RECLASS BANK CODES"/>
      <sheetName val="Acc&amp;Rev"/>
      <sheetName val="Acc"/>
      <sheetName val="Acc (2)"/>
      <sheetName val="Reclass"/>
      <sheetName val="Ls_AgXLB_WorkbookFile"/>
      <sheetName val="Ls_XLB_WorkbookFile"/>
    </sheetNames>
    <sheetDataSet>
      <sheetData sheetId="0"/>
      <sheetData sheetId="1">
        <row r="3">
          <cell r="C3" t="str">
            <v>04/2008</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taticData"/>
      <sheetName val="BSP Agent Comm"/>
      <sheetName val="RBG Agent Comm"/>
      <sheetName val="SLC Agent Comm"/>
      <sheetName val="Ls_AgXLB_WorkbookFile"/>
      <sheetName val="Ls_XLB_WorkbookFile"/>
    </sheetNames>
    <sheetDataSet>
      <sheetData sheetId="0"/>
      <sheetData sheetId="1" refreshError="1">
        <row r="3">
          <cell r="C3" t="str">
            <v>05/2008</v>
          </cell>
        </row>
      </sheetData>
      <sheetData sheetId="2"/>
      <sheetData sheetId="3"/>
      <sheetData sheetId="4"/>
      <sheetData sheetId="5"/>
      <sheetData sheetId="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lection"/>
      <sheetName val="Ls_XLB_WorkbookFile"/>
      <sheetName val="HeadCount"/>
      <sheetName val="staff meals"/>
      <sheetName val="Laundry"/>
      <sheetName val="photocopy"/>
      <sheetName val="Contract"/>
      <sheetName val="Shared Svcs"/>
      <sheetName val="Prov-Audit Fees,Uniforms"/>
      <sheetName val="medical"/>
      <sheetName val="prepaid 14"/>
      <sheetName val="prepaid 13"/>
      <sheetName val="minibar"/>
      <sheetName val="gen store "/>
      <sheetName val="f&amp;bcos"/>
      <sheetName val="GS"/>
      <sheetName val="Adj-PUB,GST"/>
      <sheetName val="depr"/>
      <sheetName val="Internet,TA,PPTX,PUB"/>
      <sheetName val="Reverse Accrual"/>
      <sheetName val="Postage"/>
      <sheetName val="misc adj"/>
      <sheetName val="Guest Trfer"/>
      <sheetName val="admin calls"/>
      <sheetName val="StaticData"/>
      <sheetName val="INDEX"/>
      <sheetName val="GIRO 1"/>
      <sheetName val="GIRO 2"/>
      <sheetName val="GIRO 3"/>
      <sheetName val="GIRO 4"/>
      <sheetName val="GIRO 5"/>
      <sheetName val="GIRO 6"/>
      <sheetName val="TQH_TES"/>
      <sheetName val="GIRO-OCBC"/>
      <sheetName val="GCR"/>
      <sheetName val="Postages"/>
      <sheetName val="Telecom"/>
      <sheetName val="Prepayment"/>
      <sheetName val="OE"/>
      <sheetName val="Insource"/>
      <sheetName val="HP Claim"/>
      <sheetName val="Ent-Others"/>
      <sheetName val="Def Income"/>
      <sheetName val="Limo"/>
      <sheetName val="TA Comm"/>
      <sheetName val="Reclass"/>
      <sheetName val="AccContract"/>
      <sheetName val="Internet_COS"/>
      <sheetName val="Utilities"/>
      <sheetName val="Auditdoubtful"/>
      <sheetName val="Mktg"/>
      <sheetName val="EE'Relation"/>
      <sheetName val="StaffMeal"/>
      <sheetName val="AWS"/>
      <sheetName val="Bonus"/>
      <sheetName val="CrCard comm"/>
      <sheetName val="Medical&amp;O'eeBenefit"/>
      <sheetName val="SalaryRecharge"/>
      <sheetName val="U.Leave"/>
      <sheetName val="Deprn"/>
      <sheetName val="Sales Inc."/>
      <sheetName val="RmSvsRecl"/>
      <sheetName val="MC Adj"/>
      <sheetName val="Disposal"/>
      <sheetName val="Reclass 1"/>
      <sheetName val="ReClass_2"/>
      <sheetName val="Carpark"/>
      <sheetName val="Resilience"/>
      <sheetName val="Other Accruals"/>
      <sheetName val="GST Trsf"/>
      <sheetName val="Insurance"/>
      <sheetName val="ReclassAWS"/>
      <sheetName val="Item (9)"/>
      <sheetName val="Item (10)"/>
      <sheetName val="Item (11)"/>
      <sheetName val="Item (12)"/>
      <sheetName val="Item (13)"/>
      <sheetName val="Item (14)"/>
      <sheetName val="Item (15)"/>
      <sheetName val="F1Levy 24-9"/>
      <sheetName val="F1Levy 25-9 "/>
      <sheetName val="F1Levy 26-9"/>
      <sheetName val="F1Levy 27-9"/>
      <sheetName val="ProfitTrsf"/>
      <sheetName val="COA"/>
      <sheetName val="Chart"/>
      <sheetName val="Ls_AgXLB_WorkbookFile"/>
    </sheetNames>
    <sheetDataSet>
      <sheetData sheetId="0" refreshError="1">
        <row r="1">
          <cell r="IP1" t="str">
            <v>Database Code</v>
          </cell>
        </row>
        <row r="7">
          <cell r="C7">
            <v>38442</v>
          </cell>
        </row>
        <row r="9">
          <cell r="C9" t="str">
            <v>LPN</v>
          </cell>
        </row>
        <row r="21">
          <cell r="IP21" t="str">
            <v>Initials</v>
          </cell>
          <cell r="IQ21" t="str">
            <v>Name</v>
          </cell>
        </row>
        <row r="22">
          <cell r="IP22" t="str">
            <v>ANN</v>
          </cell>
          <cell r="IQ22" t="str">
            <v>Ann Foh</v>
          </cell>
        </row>
        <row r="23">
          <cell r="IP23" t="str">
            <v>LFL</v>
          </cell>
          <cell r="IQ23" t="str">
            <v>Lim Foong Loong</v>
          </cell>
        </row>
        <row r="24">
          <cell r="IP24" t="str">
            <v>CDY</v>
          </cell>
          <cell r="IQ24" t="str">
            <v>Chendy Lau</v>
          </cell>
        </row>
        <row r="25">
          <cell r="IP25" t="str">
            <v>LSH</v>
          </cell>
          <cell r="IQ25" t="str">
            <v>Leong Sok Han</v>
          </cell>
        </row>
        <row r="26">
          <cell r="IP26" t="str">
            <v>EYL</v>
          </cell>
          <cell r="IQ26" t="str">
            <v>Eng Yeng Leng</v>
          </cell>
        </row>
        <row r="27">
          <cell r="IP27" t="str">
            <v>LPN</v>
          </cell>
          <cell r="IQ27" t="str">
            <v>Lim Pei Nee</v>
          </cell>
        </row>
        <row r="29">
          <cell r="IP29" t="str">
            <v xml:space="preserve"> </v>
          </cell>
          <cell r="IQ29" t="str">
            <v xml:space="preserve"> </v>
          </cell>
        </row>
        <row r="30">
          <cell r="IP30" t="str">
            <v xml:space="preserve"> </v>
          </cell>
          <cell r="IQ30" t="str">
            <v xml:space="preserve">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s_XLB_WorkbookFile"/>
      <sheetName val="Selector"/>
      <sheetName val="Report(HSS)"/>
      <sheetName val="Report (SUPPLIER)"/>
      <sheetName val="26030"/>
      <sheetName val="0906"/>
      <sheetName val="0806"/>
      <sheetName val="0706"/>
      <sheetName val="0606"/>
      <sheetName val="0506"/>
      <sheetName val="0406"/>
      <sheetName val="0306"/>
      <sheetName val="0206"/>
      <sheetName val="0106"/>
      <sheetName val="1205 (1)"/>
      <sheetName val="1205"/>
      <sheetName val="Chemlist"/>
      <sheetName val="currency"/>
      <sheetName val="CAPEX"/>
      <sheetName val="OPEX"/>
      <sheetName val="Parameters"/>
      <sheetName val="StaticData"/>
      <sheetName val="TB"/>
      <sheetName val="K101"/>
      <sheetName val="cashflowcomp"/>
      <sheetName val="Interim --&gt; Top"/>
      <sheetName val="Notes"/>
      <sheetName val="P&amp;L"/>
      <sheetName val="TBal"/>
      <sheetName val="U"/>
      <sheetName val="DEPOSIT-PPYMT"/>
      <sheetName val="VOL PURCHASE"/>
    </sheetNames>
    <sheetDataSet>
      <sheetData sheetId="0" refreshError="1"/>
      <sheetData sheetId="1" refreshError="1"/>
      <sheetData sheetId="2"/>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s_XLB_WorkbookFile"/>
      <sheetName val="selection"/>
      <sheetName val="SPSvcs"/>
      <sheetName val="Exxon"/>
      <sheetName val="Chq Return"/>
      <sheetName val="PtyTax"/>
      <sheetName val="SingTel"/>
      <sheetName val="Crimson"/>
      <sheetName val="BillElect"/>
      <sheetName val="CPF"/>
      <sheetName val="FWL"/>
      <sheetName val="Starhub"/>
      <sheetName val="Internet"/>
      <sheetName val="OD"/>
      <sheetName val="Exxon (2)"/>
      <sheetName val="Wrkg1"/>
      <sheetName val="Sheet2"/>
      <sheetName val="Wrkg2"/>
    </sheetNames>
    <sheetDataSet>
      <sheetData sheetId="0" refreshError="1"/>
      <sheetData sheetId="1" refreshError="1">
        <row r="11">
          <cell r="C11" t="str">
            <v>JV2006/02/07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persons/person.xml><?xml version="1.0" encoding="utf-8"?>
<personList xmlns="http://schemas.microsoft.com/office/spreadsheetml/2018/threadedcomments" xmlns:x="http://schemas.openxmlformats.org/spreadsheetml/2006/main">
  <person displayName="Wen Li Yap" id="{A8DF7301-7D51-4B63-8447-75FC8764054C}" userId="Wen Li Yap" providerId="None"/>
  <person displayName="Baker &amp; Cook Accounts" id="{60FF0A43-92E7-4531-BC37-5E3C651DEA10}" userId="S::accounts@bakerandcook.biz::ce082a84-21e4-43b5-a71b-67dae1728101" providerId="AD"/>
</personList>
</file>

<file path=xl/richData/rdRichValueTypes.xml><?xml version="1.0" encoding="utf-8"?>
<rvTypesInfo xmlns="http://schemas.microsoft.com/office/spreadsheetml/2017/richdata2">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fb t="e">#NAME?</fb>
    <v>4</v>
    <v>1</v>
  </rv>
  <rv s="1">
    <fb t="e">#NAME?</fb>
    <v>4</v>
    <v>1</v>
  </rv>
</rvData>
</file>

<file path=xl/richData/rdrichvaluestructure.xml><?xml version="1.0" encoding="utf-8"?>
<rvStructures xmlns="http://schemas.microsoft.com/office/spreadsheetml/2017/richdata" count="2">
  <s t="_error">
    <k n="errorType" t="i"/>
    <k n="propagated" t="b"/>
  </s>
  <s t="_error">
    <k n="errorType" t="i"/>
    <k n="subType" t="i"/>
  </s>
</rvStructure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R3" dT="2021-02-16T03:44:20.47" personId="{A8DF7301-7D51-4B63-8447-75FC8764054C}" id="{93A2D640-B3BC-4344-B45C-169ACA42034D}">
    <text>Online sales - $13,237.44
Cold Storage Royalty - $12,385.80</text>
  </threadedComment>
  <threadedComment ref="C46" dT="2021-12-17T07:03:41.79" personId="{60FF0A43-92E7-4531-BC37-5E3C651DEA10}" id="{D0E8565E-8BF9-4309-8341-2DBB18124EF2}">
    <text>Cold room servicing and repairing of dish washing machine</text>
  </threadedComment>
  <threadedComment ref="K46" dT="2021-12-17T07:04:18.92" personId="{60FF0A43-92E7-4531-BC37-5E3C651DEA10}" id="{DC87218C-8196-4C12-BA35-4817C091B232}">
    <text>Repair new compressor for cold room</text>
  </threadedComment>
  <threadedComment ref="L46" dT="2021-12-17T07:06:53.64" personId="{60FF0A43-92E7-4531-BC37-5E3C651DEA10}" id="{31053ECE-1A5B-42F1-B235-D5938FAE2685}">
    <text>Repair control pcb, transformer and fuse for oven - $1,530
Sept and Oct valet parking fee</text>
  </threadedComment>
  <threadedComment ref="N46" dT="2021-12-17T07:08:01.39" personId="{60FF0A43-92E7-4531-BC37-5E3C651DEA10}" id="{41FA560D-1CF7-48B7-BCB6-C69E39FFA1A7}">
    <text>Supply and replace gasket for the fridge</text>
  </threadedComment>
  <threadedComment ref="C47" dT="2021-12-17T07:08:56.99" personId="{60FF0A43-92E7-4531-BC37-5E3C651DEA10}" id="{6BCFFE2F-7E1C-4B4E-B12C-4999EC437B19}">
    <text>scented candle</text>
  </threadedComment>
  <threadedComment ref="N47" dT="2021-12-17T07:09:22.45" personId="{60FF0A43-92E7-4531-BC37-5E3C651DEA10}" id="{169AA02F-903D-4D2D-9344-5D25E0943D26}">
    <text>Kitchen tools and utensils for new outlet</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0244A-8051-47FF-9D4A-5FE589790C2A}">
  <sheetPr>
    <tabColor theme="8" tint="0.39997558519241921"/>
  </sheetPr>
  <dimension ref="A1:L355"/>
  <sheetViews>
    <sheetView tabSelected="1" workbookViewId="0">
      <selection activeCell="H1" sqref="H1"/>
    </sheetView>
  </sheetViews>
  <sheetFormatPr defaultRowHeight="14.25" x14ac:dyDescent="0.45"/>
  <cols>
    <col min="1" max="1" width="17.796875" customWidth="1"/>
    <col min="2" max="2" width="10.53125" customWidth="1"/>
    <col min="3" max="3" width="27.19921875" customWidth="1"/>
    <col min="4" max="4" width="3.796875" customWidth="1"/>
    <col min="5" max="5" width="4.19921875" customWidth="1"/>
    <col min="6" max="6" width="16.06640625" customWidth="1"/>
    <col min="7" max="7" width="3.53125" customWidth="1"/>
    <col min="8" max="8" width="14.59765625" customWidth="1"/>
    <col min="9" max="9" width="2.06640625" customWidth="1"/>
    <col min="10" max="10" width="23.796875" customWidth="1"/>
    <col min="11" max="11" width="17.265625" style="16" customWidth="1"/>
    <col min="12" max="12" width="27.19921875" customWidth="1"/>
  </cols>
  <sheetData>
    <row r="1" spans="1:12" ht="25.5" x14ac:dyDescent="0.75">
      <c r="A1" s="226" t="s">
        <v>1089</v>
      </c>
      <c r="B1" s="151"/>
      <c r="C1" s="151"/>
      <c r="D1" s="151"/>
      <c r="E1" s="151"/>
      <c r="F1" s="227"/>
    </row>
    <row r="2" spans="1:12" ht="25.5" x14ac:dyDescent="0.75">
      <c r="A2" s="4"/>
      <c r="F2" s="5"/>
    </row>
    <row r="3" spans="1:12" ht="25.5" x14ac:dyDescent="0.75">
      <c r="A3" s="4"/>
      <c r="B3" s="6" t="s">
        <v>1090</v>
      </c>
      <c r="C3" s="7"/>
      <c r="D3" s="7"/>
      <c r="E3" s="7"/>
      <c r="F3" s="8">
        <v>44531</v>
      </c>
    </row>
    <row r="4" spans="1:12" ht="19.05" customHeight="1" x14ac:dyDescent="0.75">
      <c r="A4" s="4"/>
      <c r="B4" s="13"/>
      <c r="C4" s="14"/>
      <c r="D4" s="14"/>
      <c r="E4" s="14"/>
      <c r="F4" s="15" t="s">
        <v>1091</v>
      </c>
    </row>
    <row r="5" spans="1:12" ht="9" customHeight="1" x14ac:dyDescent="0.75">
      <c r="A5" s="4"/>
      <c r="B5" s="13"/>
      <c r="C5" s="14"/>
      <c r="D5" s="14"/>
      <c r="E5" s="14"/>
      <c r="F5" s="15"/>
    </row>
    <row r="6" spans="1:12" ht="19.05" customHeight="1" x14ac:dyDescent="0.75">
      <c r="A6" s="4"/>
      <c r="B6" s="13"/>
      <c r="C6" s="14"/>
      <c r="D6" s="14"/>
      <c r="E6" s="14"/>
      <c r="F6" s="228" t="s">
        <v>1320</v>
      </c>
      <c r="H6" s="228" t="s">
        <v>1430</v>
      </c>
      <c r="J6" s="229" t="s">
        <v>1431</v>
      </c>
      <c r="K6" s="83"/>
      <c r="L6" s="229" t="s">
        <v>1432</v>
      </c>
    </row>
    <row r="7" spans="1:12" x14ac:dyDescent="0.45">
      <c r="A7" t="str">
        <f>_xlfn.XLOOKUP(C7,consol_Map!B:B,consol_Map!C:C,"",0)</f>
        <v>Cash and bank balances</v>
      </c>
      <c r="B7">
        <v>11110010</v>
      </c>
      <c r="C7" t="s">
        <v>1092</v>
      </c>
      <c r="F7" s="16">
        <f>IFERROR(INDEX('Name Redacted (TB)'!$F:$F,MATCH(B7,'Name Redacted (TB)'!$B:$B,0)),VALUE("0"))</f>
        <v>488729</v>
      </c>
      <c r="H7" s="16">
        <f>IFERROR(SUMIFS('BnC (TB-Dec21)'!J:J,'BnC (TB-Dec21)'!I:I,C7),VALUE("0"))</f>
        <v>0</v>
      </c>
      <c r="J7" s="21">
        <f>F7+H7</f>
        <v>488729</v>
      </c>
      <c r="K7" s="83">
        <f>SUMIFS('Consol Entries'!D:D,'Consol Entries'!C:C,C7)</f>
        <v>0</v>
      </c>
      <c r="L7" s="21">
        <f>SUM(J7:K7)</f>
        <v>488729</v>
      </c>
    </row>
    <row r="8" spans="1:12" x14ac:dyDescent="0.45">
      <c r="A8" t="str">
        <f>_xlfn.XLOOKUP(C8,consol_Map!B:B,consol_Map!C:C,"",0)</f>
        <v>Cash and bank balances</v>
      </c>
      <c r="B8">
        <v>11110020</v>
      </c>
      <c r="C8" t="s">
        <v>1093</v>
      </c>
      <c r="F8" s="16">
        <f>IFERROR(INDEX('Name Redacted (TB)'!$F:$F,MATCH(B8,'Name Redacted (TB)'!$B:$B,0)),VALUE("0"))</f>
        <v>504479</v>
      </c>
      <c r="H8" s="16">
        <f>IFERROR(SUMIFS('BnC (TB-Dec21)'!J:J,'BnC (TB-Dec21)'!I:I,C8),VALUE("0"))</f>
        <v>0</v>
      </c>
      <c r="J8" s="21">
        <f t="shared" ref="J8:J73" si="0">F8+H8</f>
        <v>504479</v>
      </c>
      <c r="K8" s="83">
        <f>SUMIFS('Consol Entries'!D:D,'Consol Entries'!C:C,C8)</f>
        <v>0</v>
      </c>
      <c r="L8" s="21">
        <f t="shared" ref="L8:L73" si="1">SUM(J8:K8)</f>
        <v>504479</v>
      </c>
    </row>
    <row r="9" spans="1:12" x14ac:dyDescent="0.45">
      <c r="A9" t="str">
        <f>_xlfn.XLOOKUP(C9,consol_Map!B:B,consol_Map!C:C,"",0)</f>
        <v>Cash and bank balances</v>
      </c>
      <c r="C9" t="s">
        <v>1413</v>
      </c>
      <c r="F9" s="16">
        <f>IFERROR(INDEX('Name Redacted (TB)'!$F:$F,MATCH(B9,'Name Redacted (TB)'!$B:$B,0)),VALUE("0"))</f>
        <v>0</v>
      </c>
      <c r="H9" s="16">
        <f>IFERROR(SUMIFS('BnC (TB-Dec21)'!J:J,'BnC (TB-Dec21)'!I:I,C9),VALUE("0"))</f>
        <v>-423479</v>
      </c>
      <c r="J9" s="21">
        <f t="shared" si="0"/>
        <v>-423479</v>
      </c>
      <c r="K9" s="83">
        <f>SUMIFS('Consol Entries'!D:D,'Consol Entries'!C:C,C9)</f>
        <v>0</v>
      </c>
      <c r="L9" s="21">
        <f t="shared" si="1"/>
        <v>-423479</v>
      </c>
    </row>
    <row r="10" spans="1:12" x14ac:dyDescent="0.45">
      <c r="A10" t="str">
        <f>_xlfn.XLOOKUP(C10,consol_Map!B:B,consol_Map!C:C,"",0)</f>
        <v>Cash and bank balances</v>
      </c>
      <c r="C10" t="s">
        <v>1388</v>
      </c>
      <c r="F10" s="16">
        <f>IFERROR(INDEX('Name Redacted (TB)'!$F:$F,MATCH(B10,'Name Redacted (TB)'!$B:$B,0)),VALUE("0"))</f>
        <v>0</v>
      </c>
      <c r="H10" s="16">
        <f>IFERROR(SUMIFS('BnC (TB-Dec21)'!J:J,'BnC (TB-Dec21)'!I:I,C10),VALUE("0"))</f>
        <v>464079</v>
      </c>
      <c r="J10" s="21">
        <f t="shared" si="0"/>
        <v>464079</v>
      </c>
      <c r="K10" s="83">
        <f>SUMIFS('Consol Entries'!D:D,'Consol Entries'!C:C,C10)</f>
        <v>0</v>
      </c>
      <c r="L10" s="21">
        <f t="shared" si="1"/>
        <v>464079</v>
      </c>
    </row>
    <row r="11" spans="1:12" x14ac:dyDescent="0.45">
      <c r="A11" t="str">
        <f>_xlfn.XLOOKUP(C11,consol_Map!B:B,consol_Map!C:C,"",0)</f>
        <v>Cash and bank balances</v>
      </c>
      <c r="C11" t="s">
        <v>1414</v>
      </c>
      <c r="F11" s="16">
        <f>IFERROR(INDEX('Name Redacted (TB)'!$F:$F,MATCH(B11,'Name Redacted (TB)'!$B:$B,0)),VALUE("0"))</f>
        <v>0</v>
      </c>
      <c r="H11" s="16">
        <f>IFERROR(SUMIFS('BnC (TB-Dec21)'!J:J,'BnC (TB-Dec21)'!I:I,C11),VALUE("0"))</f>
        <v>-457279</v>
      </c>
      <c r="J11" s="21">
        <f t="shared" si="0"/>
        <v>-457279</v>
      </c>
      <c r="K11" s="83">
        <f>SUMIFS('Consol Entries'!D:D,'Consol Entries'!C:C,C11)</f>
        <v>0</v>
      </c>
      <c r="L11" s="21">
        <f t="shared" si="1"/>
        <v>-457279</v>
      </c>
    </row>
    <row r="12" spans="1:12" x14ac:dyDescent="0.45">
      <c r="A12" t="str">
        <f>_xlfn.XLOOKUP(C12,consol_Map!B:B,consol_Map!C:C,"",0)</f>
        <v>Cash and bank balances</v>
      </c>
      <c r="B12">
        <v>11120060</v>
      </c>
      <c r="C12" t="s">
        <v>1094</v>
      </c>
      <c r="F12" s="16">
        <f>IFERROR(INDEX('Name Redacted (TB)'!$F:$F,MATCH(B12,'Name Redacted (TB)'!$B:$B,0)),VALUE("0"))</f>
        <v>4411671.5299999993</v>
      </c>
      <c r="H12" s="16">
        <f>IFERROR(SUMIFS('BnC (TB-Dec21)'!J:J,'BnC (TB-Dec21)'!I:I,C12),VALUE("0"))</f>
        <v>0</v>
      </c>
      <c r="J12" s="21">
        <f t="shared" si="0"/>
        <v>4411671.5299999993</v>
      </c>
      <c r="K12" s="83">
        <f>SUMIFS('Consol Entries'!D:D,'Consol Entries'!C:C,C12)</f>
        <v>0</v>
      </c>
      <c r="L12" s="21">
        <f t="shared" si="1"/>
        <v>4411671.5299999993</v>
      </c>
    </row>
    <row r="13" spans="1:12" x14ac:dyDescent="0.45">
      <c r="A13" t="str">
        <f>_xlfn.XLOOKUP(C13,consol_Map!B:B,consol_Map!C:C,"",0)</f>
        <v>Cash and bank balances</v>
      </c>
      <c r="B13">
        <v>11120061</v>
      </c>
      <c r="C13" t="s">
        <v>1095</v>
      </c>
      <c r="F13" s="16">
        <f>IFERROR(INDEX('Name Redacted (TB)'!$F:$F,MATCH(B13,'Name Redacted (TB)'!$B:$B,0)),VALUE("0"))</f>
        <v>455746.26</v>
      </c>
      <c r="H13" s="16">
        <f>IFERROR(SUMIFS('BnC (TB-Dec21)'!J:J,'BnC (TB-Dec21)'!I:I,C13),VALUE("0"))</f>
        <v>0</v>
      </c>
      <c r="J13" s="21">
        <f t="shared" si="0"/>
        <v>455746.26</v>
      </c>
      <c r="K13" s="83">
        <f>SUMIFS('Consol Entries'!D:D,'Consol Entries'!C:C,C13)</f>
        <v>0</v>
      </c>
      <c r="L13" s="21">
        <f t="shared" si="1"/>
        <v>455746.26</v>
      </c>
    </row>
    <row r="14" spans="1:12" x14ac:dyDescent="0.45">
      <c r="A14" t="str">
        <f>_xlfn.XLOOKUP(C14,consol_Map!B:B,consol_Map!C:C,"",0)</f>
        <v>Cash and bank balances</v>
      </c>
      <c r="B14">
        <v>11120062</v>
      </c>
      <c r="C14" t="s">
        <v>1096</v>
      </c>
      <c r="F14" s="16">
        <f>IFERROR(INDEX('Name Redacted (TB)'!$F:$F,MATCH(B14,'Name Redacted (TB)'!$B:$B,0)),VALUE("0"))</f>
        <v>457872.7</v>
      </c>
      <c r="H14" s="16">
        <f>IFERROR(SUMIFS('BnC (TB-Dec21)'!J:J,'BnC (TB-Dec21)'!I:I,C14),VALUE("0"))</f>
        <v>0</v>
      </c>
      <c r="J14" s="21">
        <f t="shared" si="0"/>
        <v>457872.7</v>
      </c>
      <c r="K14" s="83">
        <f>SUMIFS('Consol Entries'!D:D,'Consol Entries'!C:C,C14)</f>
        <v>0</v>
      </c>
      <c r="L14" s="21">
        <f t="shared" si="1"/>
        <v>457872.7</v>
      </c>
    </row>
    <row r="15" spans="1:12" x14ac:dyDescent="0.45">
      <c r="A15" t="str">
        <f>_xlfn.XLOOKUP(C15,consol_Map!B:B,consol_Map!C:C,"",0)</f>
        <v>Cash and bank balances</v>
      </c>
      <c r="B15">
        <v>11120080</v>
      </c>
      <c r="C15" t="s">
        <v>1097</v>
      </c>
      <c r="F15" s="16">
        <f>IFERROR(INDEX('Name Redacted (TB)'!$F:$F,MATCH(B15,'Name Redacted (TB)'!$B:$B,0)),VALUE("0"))</f>
        <v>692903.84</v>
      </c>
      <c r="H15" s="16">
        <f>IFERROR(SUMIFS('BnC (TB-Dec21)'!J:J,'BnC (TB-Dec21)'!I:I,C15),VALUE("0"))</f>
        <v>0</v>
      </c>
      <c r="J15" s="21">
        <f t="shared" si="0"/>
        <v>692903.84</v>
      </c>
      <c r="K15" s="83">
        <f>SUMIFS('Consol Entries'!D:D,'Consol Entries'!C:C,C15)</f>
        <v>0</v>
      </c>
      <c r="L15" s="21">
        <f t="shared" si="1"/>
        <v>692903.84</v>
      </c>
    </row>
    <row r="16" spans="1:12" x14ac:dyDescent="0.45">
      <c r="A16" t="str">
        <f>_xlfn.XLOOKUP(C16,consol_Map!B:B,consol_Map!C:C,"",0)</f>
        <v>Cash and bank balances</v>
      </c>
      <c r="B16">
        <v>11120081</v>
      </c>
      <c r="C16" t="s">
        <v>1555</v>
      </c>
      <c r="F16" s="16">
        <f>IFERROR(INDEX('Name Redacted (TB)'!$F:$F,MATCH(B16,'Name Redacted (TB)'!$B:$B,0)),VALUE("0"))</f>
        <v>459751.81</v>
      </c>
      <c r="H16" s="16">
        <f>IFERROR(SUMIFS('BnC (TB-Dec21)'!J:J,'BnC (TB-Dec21)'!I:I,C16),VALUE("0"))</f>
        <v>0</v>
      </c>
      <c r="J16" s="21">
        <f t="shared" ref="J16" si="2">F16+H16</f>
        <v>459751.81</v>
      </c>
      <c r="K16" s="83">
        <f>SUMIFS('Consol Entries'!D:D,'Consol Entries'!C:C,C16)</f>
        <v>0</v>
      </c>
      <c r="L16" s="21">
        <f t="shared" ref="L16" si="3">SUM(J16:K16)</f>
        <v>459751.81</v>
      </c>
    </row>
    <row r="17" spans="1:12" x14ac:dyDescent="0.45">
      <c r="A17" t="str">
        <f>_xlfn.XLOOKUP(C17,consol_Map!B:B,consol_Map!C:C,"",0)</f>
        <v>Cash and bank balances</v>
      </c>
      <c r="B17">
        <v>11120082</v>
      </c>
      <c r="C17" t="s">
        <v>1098</v>
      </c>
      <c r="F17" s="16">
        <f>IFERROR(INDEX('Name Redacted (TB)'!$F:$F,MATCH(B17,'Name Redacted (TB)'!$B:$B,0)),VALUE("0"))</f>
        <v>459679</v>
      </c>
      <c r="H17" s="16">
        <f>IFERROR(SUMIFS('BnC (TB-Dec21)'!J:J,'BnC (TB-Dec21)'!I:I,C17),VALUE("0"))</f>
        <v>0</v>
      </c>
      <c r="J17" s="21">
        <f t="shared" si="0"/>
        <v>459679</v>
      </c>
      <c r="K17" s="83">
        <f>SUMIFS('Consol Entries'!D:D,'Consol Entries'!C:C,C17)</f>
        <v>0</v>
      </c>
      <c r="L17" s="21">
        <f t="shared" si="1"/>
        <v>459679</v>
      </c>
    </row>
    <row r="18" spans="1:12" x14ac:dyDescent="0.45">
      <c r="A18" t="str">
        <f>_xlfn.XLOOKUP(C18,consol_Map!B:B,consol_Map!C:C,"",0)</f>
        <v>Cash and bank balances</v>
      </c>
      <c r="B18">
        <v>11120200</v>
      </c>
      <c r="C18" t="s">
        <v>1099</v>
      </c>
      <c r="F18" s="16">
        <f>IFERROR(INDEX('Name Redacted (TB)'!$F:$F,MATCH(B18,'Name Redacted (TB)'!$B:$B,0)),VALUE("0"))</f>
        <v>1671989.6600000001</v>
      </c>
      <c r="H18" s="16">
        <f>IFERROR(SUMIFS('BnC (TB-Dec21)'!J:J,'BnC (TB-Dec21)'!I:I,C18),VALUE("0"))</f>
        <v>0</v>
      </c>
      <c r="J18" s="21">
        <f t="shared" si="0"/>
        <v>1671989.6600000001</v>
      </c>
      <c r="K18" s="83">
        <f>SUMIFS('Consol Entries'!D:D,'Consol Entries'!C:C,C18)</f>
        <v>0</v>
      </c>
      <c r="L18" s="21">
        <f t="shared" si="1"/>
        <v>1671989.6600000001</v>
      </c>
    </row>
    <row r="19" spans="1:12" x14ac:dyDescent="0.45">
      <c r="A19" t="str">
        <f>_xlfn.XLOOKUP(C19,consol_Map!B:B,consol_Map!C:C,"",0)</f>
        <v>Cash and bank balances</v>
      </c>
      <c r="C19" t="s">
        <v>1415</v>
      </c>
      <c r="F19" s="16">
        <f>IFERROR(INDEX('Name Redacted (TB)'!$F:$F,MATCH(B19,'Name Redacted (TB)'!$B:$B,0)),VALUE("0"))</f>
        <v>0</v>
      </c>
      <c r="H19" s="16">
        <f>IFERROR(SUMIFS('BnC (TB-Dec21)'!J:J,'BnC (TB-Dec21)'!I:I,C19),VALUE("0"))</f>
        <v>1156207.8900000001</v>
      </c>
      <c r="J19" s="21">
        <f t="shared" si="0"/>
        <v>1156207.8900000001</v>
      </c>
      <c r="K19" s="83">
        <f>SUMIFS('Consol Entries'!D:D,'Consol Entries'!C:C,C19)</f>
        <v>0</v>
      </c>
      <c r="L19" s="21">
        <f t="shared" si="1"/>
        <v>1156207.8900000001</v>
      </c>
    </row>
    <row r="20" spans="1:12" x14ac:dyDescent="0.45">
      <c r="A20" t="str">
        <f>_xlfn.XLOOKUP(C20,consol_Map!B:B,consol_Map!C:C,"",0)</f>
        <v>Cash and bank balances</v>
      </c>
      <c r="C20" t="s">
        <v>1416</v>
      </c>
      <c r="F20" s="16">
        <f>IFERROR(INDEX('Name Redacted (TB)'!$F:$F,MATCH(B20,'Name Redacted (TB)'!$B:$B,0)),VALUE("0"))</f>
        <v>0</v>
      </c>
      <c r="H20" s="16">
        <f>IFERROR(SUMIFS('BnC (TB-Dec21)'!J:J,'BnC (TB-Dec21)'!I:I,C20),VALUE("0"))</f>
        <v>-98510.13</v>
      </c>
      <c r="J20" s="21">
        <f t="shared" si="0"/>
        <v>-98510.13</v>
      </c>
      <c r="K20" s="83">
        <f>SUMIFS('Consol Entries'!D:D,'Consol Entries'!C:C,C20)</f>
        <v>0</v>
      </c>
      <c r="L20" s="21">
        <f t="shared" si="1"/>
        <v>-98510.13</v>
      </c>
    </row>
    <row r="21" spans="1:12" x14ac:dyDescent="0.45">
      <c r="A21" t="str">
        <f>_xlfn.XLOOKUP(C21,consol_Map!B:B,consol_Map!C:C,"",0)</f>
        <v>Cash and bank balances</v>
      </c>
      <c r="C21" t="s">
        <v>1417</v>
      </c>
      <c r="F21" s="16">
        <f>IFERROR(INDEX('Name Redacted (TB)'!$F:$F,MATCH(B21,'Name Redacted (TB)'!$B:$B,0)),VALUE("0"))</f>
        <v>0</v>
      </c>
      <c r="H21" s="16">
        <f>IFERROR(SUMIFS('BnC (TB-Dec21)'!J:J,'BnC (TB-Dec21)'!I:I,C21),VALUE("0"))</f>
        <v>494222.1</v>
      </c>
      <c r="J21" s="21">
        <f t="shared" si="0"/>
        <v>494222.1</v>
      </c>
      <c r="K21" s="83">
        <f>SUMIFS('Consol Entries'!D:D,'Consol Entries'!C:C,C21)</f>
        <v>0</v>
      </c>
      <c r="L21" s="21">
        <f t="shared" si="1"/>
        <v>494222.1</v>
      </c>
    </row>
    <row r="22" spans="1:12" x14ac:dyDescent="0.45">
      <c r="A22" t="str">
        <f>_xlfn.XLOOKUP(C22,consol_Map!B:B,consol_Map!C:C,"",0)</f>
        <v>Cash and bank balances</v>
      </c>
      <c r="C22" t="s">
        <v>1418</v>
      </c>
      <c r="F22" s="16">
        <f>IFERROR(INDEX('Name Redacted (TB)'!$F:$F,MATCH(B22,'Name Redacted (TB)'!$B:$B,0)),VALUE("0"))</f>
        <v>0</v>
      </c>
      <c r="H22" s="16">
        <f>IFERROR(SUMIFS('BnC (TB-Dec21)'!J:J,'BnC (TB-Dec21)'!I:I,C22),VALUE("0"))</f>
        <v>1961465.1099999999</v>
      </c>
      <c r="J22" s="21">
        <f t="shared" si="0"/>
        <v>1961465.1099999999</v>
      </c>
      <c r="K22" s="83">
        <f>SUMIFS('Consol Entries'!D:D,'Consol Entries'!C:C,C22)</f>
        <v>0</v>
      </c>
      <c r="L22" s="21">
        <f t="shared" si="1"/>
        <v>1961465.1099999999</v>
      </c>
    </row>
    <row r="23" spans="1:12" x14ac:dyDescent="0.45">
      <c r="A23" t="str">
        <f>_xlfn.XLOOKUP(C23,consol_Map!B:B,consol_Map!C:C,"",0)</f>
        <v>Cash and bank balances</v>
      </c>
      <c r="C23" t="s">
        <v>1389</v>
      </c>
      <c r="F23" s="16">
        <f>IFERROR(INDEX('Name Redacted (TB)'!$F:$F,MATCH(B23,'Name Redacted (TB)'!$B:$B,0)),VALUE("0"))</f>
        <v>0</v>
      </c>
      <c r="H23" s="16">
        <f>IFERROR(SUMIFS('BnC (TB-Dec21)'!J:J,'BnC (TB-Dec21)'!I:I,C23),VALUE("0"))</f>
        <v>294533.31</v>
      </c>
      <c r="J23" s="21">
        <f t="shared" si="0"/>
        <v>294533.31</v>
      </c>
      <c r="K23" s="83">
        <f>SUMIFS('Consol Entries'!D:D,'Consol Entries'!C:C,C23)</f>
        <v>0</v>
      </c>
      <c r="L23" s="21">
        <f t="shared" si="1"/>
        <v>294533.31</v>
      </c>
    </row>
    <row r="24" spans="1:12" x14ac:dyDescent="0.45">
      <c r="A24" t="str">
        <f>_xlfn.XLOOKUP(C24,consol_Map!B:B,consol_Map!C:C,"",0)</f>
        <v>Cash and bank balances</v>
      </c>
      <c r="C24" t="s">
        <v>1419</v>
      </c>
      <c r="F24" s="16">
        <f>IFERROR(INDEX('Name Redacted (TB)'!$F:$F,MATCH(B24,'Name Redacted (TB)'!$B:$B,0)),VALUE("0"))</f>
        <v>0</v>
      </c>
      <c r="H24" s="16">
        <f>IFERROR(SUMIFS('BnC (TB-Dec21)'!J:J,'BnC (TB-Dec21)'!I:I,C24),VALUE("0"))</f>
        <v>912998.21</v>
      </c>
      <c r="J24" s="21">
        <f t="shared" si="0"/>
        <v>912998.21</v>
      </c>
      <c r="K24" s="83">
        <f>SUMIFS('Consol Entries'!D:D,'Consol Entries'!C:C,C24)</f>
        <v>0</v>
      </c>
      <c r="L24" s="21">
        <f t="shared" si="1"/>
        <v>912998.21</v>
      </c>
    </row>
    <row r="25" spans="1:12" x14ac:dyDescent="0.45">
      <c r="A25" t="str">
        <f>_xlfn.XLOOKUP(C25,consol_Map!B:B,consol_Map!C:C,"",0)</f>
        <v>Trade and other receivables</v>
      </c>
      <c r="B25">
        <v>11210010</v>
      </c>
      <c r="C25" t="s">
        <v>1100</v>
      </c>
      <c r="F25" s="16">
        <f>IFERROR(INDEX('Name Redacted (TB)'!$F:$F,MATCH(B25,'Name Redacted (TB)'!$B:$B,0)),VALUE("0"))</f>
        <v>1375601.77</v>
      </c>
      <c r="H25" s="16">
        <f>IFERROR(SUMIFS('BnC (TB-Dec21)'!J:J,'BnC (TB-Dec21)'!I:I,C25),VALUE("0"))</f>
        <v>0</v>
      </c>
      <c r="J25" s="21">
        <f t="shared" si="0"/>
        <v>1375601.77</v>
      </c>
      <c r="K25" s="83">
        <f>SUMIFS('Consol Entries'!D:D,'Consol Entries'!C:C,C25)</f>
        <v>0</v>
      </c>
      <c r="L25" s="21">
        <f t="shared" si="1"/>
        <v>1375601.77</v>
      </c>
    </row>
    <row r="26" spans="1:12" x14ac:dyDescent="0.45">
      <c r="A26" t="str">
        <f>_xlfn.XLOOKUP(C26,consol_Map!B:B,consol_Map!C:C,"",0)</f>
        <v>Trade and other receivables</v>
      </c>
      <c r="B26">
        <v>11210020</v>
      </c>
      <c r="C26" t="s">
        <v>1101</v>
      </c>
      <c r="F26" s="16">
        <f>IFERROR(INDEX('Name Redacted (TB)'!$F:$F,MATCH(B26,'Name Redacted (TB)'!$B:$B,0)),VALUE("0"))</f>
        <v>617893.54</v>
      </c>
      <c r="H26" s="16">
        <f>IFERROR(SUMIFS('BnC (TB-Dec21)'!J:J,'BnC (TB-Dec21)'!I:I,C26),VALUE("0"))</f>
        <v>0</v>
      </c>
      <c r="J26" s="21">
        <f t="shared" si="0"/>
        <v>617893.54</v>
      </c>
      <c r="K26" s="83">
        <f>SUMIFS('Consol Entries'!D:D,'Consol Entries'!C:C,C26)</f>
        <v>-3294.66</v>
      </c>
      <c r="L26" s="21">
        <f t="shared" si="1"/>
        <v>614598.88</v>
      </c>
    </row>
    <row r="27" spans="1:12" x14ac:dyDescent="0.45">
      <c r="A27" t="str">
        <f>_xlfn.XLOOKUP(C27,consol_Map!B:B,consol_Map!C:C,"",0)</f>
        <v>Trade and other receivables</v>
      </c>
      <c r="B27">
        <v>11210030</v>
      </c>
      <c r="C27" t="s">
        <v>1102</v>
      </c>
      <c r="F27" s="16">
        <f>IFERROR(INDEX('Name Redacted (TB)'!$F:$F,MATCH(B27,'Name Redacted (TB)'!$B:$B,0)),VALUE("0"))</f>
        <v>-471621.58</v>
      </c>
      <c r="H27" s="16">
        <f>IFERROR(SUMIFS('BnC (TB-Dec21)'!J:J,'BnC (TB-Dec21)'!I:I,C27),VALUE("0"))</f>
        <v>0</v>
      </c>
      <c r="J27" s="21">
        <f t="shared" si="0"/>
        <v>-471621.58</v>
      </c>
      <c r="K27" s="83">
        <f>SUMIFS('Consol Entries'!D:D,'Consol Entries'!C:C,C27)</f>
        <v>0</v>
      </c>
      <c r="L27" s="21">
        <f t="shared" si="1"/>
        <v>-471621.58</v>
      </c>
    </row>
    <row r="28" spans="1:12" x14ac:dyDescent="0.45">
      <c r="A28" t="str">
        <f>_xlfn.XLOOKUP(C28,consol_Map!B:B,consol_Map!C:C,"",0)</f>
        <v>Trade and other receivables</v>
      </c>
      <c r="C28" t="s">
        <v>1387</v>
      </c>
      <c r="F28" s="16">
        <f>IFERROR(INDEX('Name Redacted (TB)'!$F:$F,MATCH(B28,'Name Redacted (TB)'!$B:$B,0)),VALUE("0"))</f>
        <v>0</v>
      </c>
      <c r="H28" s="16">
        <f>IFERROR(SUMIFS('BnC (TB-Dec21)'!J:J,'BnC (TB-Dec21)'!I:I,C28),VALUE("0"))</f>
        <v>604040.30000000005</v>
      </c>
      <c r="J28" s="21">
        <f t="shared" si="0"/>
        <v>604040.30000000005</v>
      </c>
      <c r="K28" s="83">
        <f>SUMIFS('Consol Entries'!D:D,'Consol Entries'!C:C,C28)</f>
        <v>-13683.04</v>
      </c>
      <c r="L28" s="21">
        <f t="shared" si="1"/>
        <v>590357.26</v>
      </c>
    </row>
    <row r="29" spans="1:12" x14ac:dyDescent="0.45">
      <c r="A29" t="str">
        <f>_xlfn.XLOOKUP(C29,consol_Map!B:B,consol_Map!C:C,"",0)</f>
        <v>Trade and other receivables</v>
      </c>
      <c r="B29">
        <v>11210050</v>
      </c>
      <c r="C29" t="s">
        <v>1103</v>
      </c>
      <c r="F29" s="16">
        <f>IFERROR(INDEX('Name Redacted (TB)'!$F:$F,MATCH(B29,'Name Redacted (TB)'!$B:$B,0)),VALUE("0"))</f>
        <v>-457250.91</v>
      </c>
      <c r="H29" s="16">
        <f>IFERROR(SUMIFS('BnC (TB-Dec21)'!J:J,'BnC (TB-Dec21)'!I:I,C29),VALUE("0"))</f>
        <v>0</v>
      </c>
      <c r="J29" s="21">
        <f t="shared" si="0"/>
        <v>-457250.91</v>
      </c>
      <c r="K29" s="83">
        <f>SUMIFS('Consol Entries'!D:D,'Consol Entries'!C:C,C29)</f>
        <v>0</v>
      </c>
      <c r="L29" s="21">
        <f t="shared" si="1"/>
        <v>-457250.91</v>
      </c>
    </row>
    <row r="30" spans="1:12" x14ac:dyDescent="0.45">
      <c r="A30" t="str">
        <f>_xlfn.XLOOKUP(C30,consol_Map!B:B,consol_Map!C:C,"",0)</f>
        <v>Trade and other receivables</v>
      </c>
      <c r="B30">
        <v>11210070</v>
      </c>
      <c r="C30" t="s">
        <v>1104</v>
      </c>
      <c r="F30" s="16">
        <f>IFERROR(INDEX('Name Redacted (TB)'!$F:$F,MATCH(B30,'Name Redacted (TB)'!$B:$B,0)),VALUE("0"))</f>
        <v>407138.22</v>
      </c>
      <c r="H30" s="16">
        <f>IFERROR(SUMIFS('BnC (TB-Dec21)'!J:J,'BnC (TB-Dec21)'!I:I,C30),VALUE("0"))</f>
        <v>0</v>
      </c>
      <c r="J30" s="21">
        <f t="shared" si="0"/>
        <v>407138.22</v>
      </c>
      <c r="K30" s="83">
        <f>SUMIFS('Consol Entries'!D:D,'Consol Entries'!C:C,C30)</f>
        <v>0</v>
      </c>
      <c r="L30" s="21">
        <f t="shared" si="1"/>
        <v>407138.22</v>
      </c>
    </row>
    <row r="31" spans="1:12" x14ac:dyDescent="0.45">
      <c r="A31" t="str">
        <f>_xlfn.XLOOKUP(C31,consol_Map!B:B,consol_Map!C:C,"",0)</f>
        <v>Trade and other receivables</v>
      </c>
      <c r="B31">
        <v>11210088</v>
      </c>
      <c r="C31" t="s">
        <v>1105</v>
      </c>
      <c r="F31" s="16">
        <f>IFERROR(INDEX('Name Redacted (TB)'!$F:$F,MATCH(B31,'Name Redacted (TB)'!$B:$B,0)),VALUE("0"))</f>
        <v>-443989.51</v>
      </c>
      <c r="H31" s="16">
        <f>IFERROR(SUMIFS('BnC (TB-Dec21)'!J:J,'BnC (TB-Dec21)'!I:I,C31),VALUE("0"))</f>
        <v>0</v>
      </c>
      <c r="J31" s="21">
        <f t="shared" si="0"/>
        <v>-443989.51</v>
      </c>
      <c r="K31" s="83">
        <f>SUMIFS('Consol Entries'!D:D,'Consol Entries'!C:C,C31)</f>
        <v>0</v>
      </c>
      <c r="L31" s="21">
        <f t="shared" si="1"/>
        <v>-443989.51</v>
      </c>
    </row>
    <row r="32" spans="1:12" x14ac:dyDescent="0.45">
      <c r="A32" t="str">
        <f>_xlfn.XLOOKUP(C32,consol_Map!B:B,consol_Map!C:C,"",0)</f>
        <v>Trade and other receivables</v>
      </c>
      <c r="B32">
        <v>11210097</v>
      </c>
      <c r="C32" t="s">
        <v>1106</v>
      </c>
      <c r="F32" s="16">
        <f>IFERROR(INDEX('Name Redacted (TB)'!$F:$F,MATCH(B32,'Name Redacted (TB)'!$B:$B,0)),VALUE("0"))</f>
        <v>-460244</v>
      </c>
      <c r="H32" s="16">
        <f>IFERROR(SUMIFS('BnC (TB-Dec21)'!J:J,'BnC (TB-Dec21)'!I:I,C32),VALUE("0"))</f>
        <v>0</v>
      </c>
      <c r="J32" s="21">
        <f t="shared" si="0"/>
        <v>-460244</v>
      </c>
      <c r="K32" s="83">
        <f>SUMIFS('Consol Entries'!D:D,'Consol Entries'!C:C,C32)</f>
        <v>0</v>
      </c>
      <c r="L32" s="21">
        <f t="shared" si="1"/>
        <v>-460244</v>
      </c>
    </row>
    <row r="33" spans="1:12" x14ac:dyDescent="0.45">
      <c r="A33" t="str">
        <f>_xlfn.XLOOKUP(C33,consol_Map!B:B,consol_Map!C:C,"",0)</f>
        <v>Trade and other receivables</v>
      </c>
      <c r="B33">
        <v>11210100</v>
      </c>
      <c r="C33" t="s">
        <v>1107</v>
      </c>
      <c r="F33" s="16">
        <f>IFERROR(INDEX('Name Redacted (TB)'!$F:$F,MATCH(B33,'Name Redacted (TB)'!$B:$B,0)),VALUE("0"))</f>
        <v>-459679</v>
      </c>
      <c r="H33" s="16">
        <f>IFERROR(SUMIFS('BnC (TB-Dec21)'!J:J,'BnC (TB-Dec21)'!I:I,C33),VALUE("0"))</f>
        <v>0</v>
      </c>
      <c r="J33" s="21">
        <f t="shared" si="0"/>
        <v>-459679</v>
      </c>
      <c r="K33" s="83">
        <f>SUMIFS('Consol Entries'!D:D,'Consol Entries'!C:C,C33)</f>
        <v>0</v>
      </c>
      <c r="L33" s="21">
        <f t="shared" si="1"/>
        <v>-459679</v>
      </c>
    </row>
    <row r="34" spans="1:12" x14ac:dyDescent="0.45">
      <c r="A34" t="str">
        <f>_xlfn.XLOOKUP(C34,consol_Map!B:B,consol_Map!C:C,"",0)</f>
        <v>Trade and other receivables</v>
      </c>
      <c r="B34">
        <v>11219998</v>
      </c>
      <c r="C34" t="s">
        <v>1108</v>
      </c>
      <c r="F34" s="16">
        <f>IFERROR(INDEX('Name Redacted (TB)'!$F:$F,MATCH(B34,'Name Redacted (TB)'!$B:$B,0)),VALUE("0"))</f>
        <v>-434629</v>
      </c>
      <c r="H34" s="16">
        <f>IFERROR(SUMIFS('BnC (TB-Dec21)'!J:J,'BnC (TB-Dec21)'!I:I,C34),VALUE("0"))</f>
        <v>0</v>
      </c>
      <c r="J34" s="21">
        <f t="shared" si="0"/>
        <v>-434629</v>
      </c>
      <c r="K34" s="83">
        <f>SUMIFS('Consol Entries'!D:D,'Consol Entries'!C:C,C34)</f>
        <v>0</v>
      </c>
      <c r="L34" s="21">
        <f t="shared" si="1"/>
        <v>-434629</v>
      </c>
    </row>
    <row r="35" spans="1:12" x14ac:dyDescent="0.45">
      <c r="A35" t="str">
        <f>_xlfn.XLOOKUP(C35,consol_Map!B:B,consol_Map!C:C,"",0)</f>
        <v>Trade and other receivables</v>
      </c>
      <c r="B35">
        <v>11219999</v>
      </c>
      <c r="C35" t="s">
        <v>1109</v>
      </c>
      <c r="F35" s="16">
        <f>IFERROR(INDEX('Name Redacted (TB)'!$F:$F,MATCH(B35,'Name Redacted (TB)'!$B:$B,0)),VALUE("0"))</f>
        <v>-467159.01</v>
      </c>
      <c r="H35" s="16">
        <f>IFERROR(SUMIFS('BnC (TB-Dec21)'!J:J,'BnC (TB-Dec21)'!I:I,C35),VALUE("0"))</f>
        <v>0</v>
      </c>
      <c r="J35" s="21">
        <f t="shared" si="0"/>
        <v>-467159.01</v>
      </c>
      <c r="K35" s="83">
        <f>SUMIFS('Consol Entries'!D:D,'Consol Entries'!C:C,C35)</f>
        <v>0</v>
      </c>
      <c r="L35" s="21">
        <f t="shared" si="1"/>
        <v>-467159.01</v>
      </c>
    </row>
    <row r="36" spans="1:12" x14ac:dyDescent="0.45">
      <c r="A36" t="str">
        <f>_xlfn.XLOOKUP(C36,consol_Map!B:B,consol_Map!C:C,"",0)</f>
        <v>Inventories</v>
      </c>
      <c r="B36">
        <v>11310010</v>
      </c>
      <c r="C36" t="s">
        <v>1110</v>
      </c>
      <c r="F36" s="16">
        <f>IFERROR(INDEX('Name Redacted (TB)'!$F:$F,MATCH(B36,'Name Redacted (TB)'!$B:$B,0)),VALUE("0"))</f>
        <v>-46530.489999999991</v>
      </c>
      <c r="H36" s="16">
        <f>IFERROR(SUMIFS('BnC (TB-Dec21)'!J:J,'BnC (TB-Dec21)'!I:I,C36),VALUE("0"))</f>
        <v>0</v>
      </c>
      <c r="J36" s="21">
        <f t="shared" si="0"/>
        <v>-46530.489999999991</v>
      </c>
      <c r="K36" s="83">
        <f>SUMIFS('Consol Entries'!D:D,'Consol Entries'!C:C,C36)</f>
        <v>0</v>
      </c>
      <c r="L36" s="21">
        <f t="shared" si="1"/>
        <v>-46530.489999999991</v>
      </c>
    </row>
    <row r="37" spans="1:12" x14ac:dyDescent="0.45">
      <c r="A37" t="str">
        <f>_xlfn.XLOOKUP(C37,consol_Map!B:B,consol_Map!C:C,"",0)</f>
        <v>Inventories</v>
      </c>
      <c r="B37">
        <v>11310020</v>
      </c>
      <c r="C37" t="s">
        <v>1111</v>
      </c>
      <c r="F37" s="16">
        <f>IFERROR(INDEX('Name Redacted (TB)'!$F:$F,MATCH(B37,'Name Redacted (TB)'!$B:$B,0)),VALUE("0"))</f>
        <v>-428168.98</v>
      </c>
      <c r="H37" s="16">
        <f>IFERROR(SUMIFS('BnC (TB-Dec21)'!J:J,'BnC (TB-Dec21)'!I:I,C37),VALUE("0"))</f>
        <v>0</v>
      </c>
      <c r="J37" s="21">
        <f t="shared" si="0"/>
        <v>-428168.98</v>
      </c>
      <c r="K37" s="83">
        <f>SUMIFS('Consol Entries'!D:D,'Consol Entries'!C:C,C37)</f>
        <v>0</v>
      </c>
      <c r="L37" s="21">
        <f t="shared" si="1"/>
        <v>-428168.98</v>
      </c>
    </row>
    <row r="38" spans="1:12" x14ac:dyDescent="0.45">
      <c r="A38" t="str">
        <f>_xlfn.XLOOKUP(C38,consol_Map!B:B,consol_Map!C:C,"",0)</f>
        <v>Inventories</v>
      </c>
      <c r="B38">
        <v>11310030</v>
      </c>
      <c r="C38" t="s">
        <v>1112</v>
      </c>
      <c r="F38" s="16">
        <f>IFERROR(INDEX('Name Redacted (TB)'!$F:$F,MATCH(B38,'Name Redacted (TB)'!$B:$B,0)),VALUE("0"))</f>
        <v>-115214.27000000002</v>
      </c>
      <c r="H38" s="16">
        <f>IFERROR(SUMIFS('BnC (TB-Dec21)'!J:J,'BnC (TB-Dec21)'!I:I,C38),VALUE("0"))</f>
        <v>0</v>
      </c>
      <c r="J38" s="21">
        <f t="shared" si="0"/>
        <v>-115214.27000000002</v>
      </c>
      <c r="K38" s="83">
        <f>SUMIFS('Consol Entries'!D:D,'Consol Entries'!C:C,C38)</f>
        <v>0</v>
      </c>
      <c r="L38" s="21">
        <f t="shared" si="1"/>
        <v>-115214.27000000002</v>
      </c>
    </row>
    <row r="39" spans="1:12" x14ac:dyDescent="0.45">
      <c r="A39" t="str">
        <f>_xlfn.XLOOKUP(C39,consol_Map!B:B,consol_Map!C:C,"",0)</f>
        <v>Inventories</v>
      </c>
      <c r="B39">
        <v>11320010</v>
      </c>
      <c r="C39" t="s">
        <v>1113</v>
      </c>
      <c r="F39" s="16">
        <f>IFERROR(INDEX('Name Redacted (TB)'!$F:$F,MATCH(B39,'Name Redacted (TB)'!$B:$B,0)),VALUE("0"))</f>
        <v>-455111.61</v>
      </c>
      <c r="H39" s="16">
        <f>IFERROR(SUMIFS('BnC (TB-Dec21)'!J:J,'BnC (TB-Dec21)'!I:I,C39),VALUE("0"))</f>
        <v>0</v>
      </c>
      <c r="J39" s="21">
        <f t="shared" si="0"/>
        <v>-455111.61</v>
      </c>
      <c r="K39" s="83">
        <f>SUMIFS('Consol Entries'!D:D,'Consol Entries'!C:C,C39)</f>
        <v>0</v>
      </c>
      <c r="L39" s="21">
        <f t="shared" si="1"/>
        <v>-455111.61</v>
      </c>
    </row>
    <row r="40" spans="1:12" x14ac:dyDescent="0.45">
      <c r="A40" t="str">
        <f>_xlfn.XLOOKUP(C40,consol_Map!B:B,consol_Map!C:C,"",0)</f>
        <v>Inventories</v>
      </c>
      <c r="B40">
        <v>11330010</v>
      </c>
      <c r="C40" t="s">
        <v>1114</v>
      </c>
      <c r="F40" s="16">
        <f>IFERROR(INDEX('Name Redacted (TB)'!$F:$F,MATCH(B40,'Name Redacted (TB)'!$B:$B,0)),VALUE("0"))</f>
        <v>-389273.85</v>
      </c>
      <c r="H40" s="16">
        <f>IFERROR(SUMIFS('BnC (TB-Dec21)'!J:J,'BnC (TB-Dec21)'!I:I,C40),VALUE("0"))</f>
        <v>0</v>
      </c>
      <c r="J40" s="21">
        <f t="shared" si="0"/>
        <v>-389273.85</v>
      </c>
      <c r="K40" s="83">
        <f>SUMIFS('Consol Entries'!D:D,'Consol Entries'!C:C,C40)</f>
        <v>0</v>
      </c>
      <c r="L40" s="21">
        <f t="shared" si="1"/>
        <v>-389273.85</v>
      </c>
    </row>
    <row r="41" spans="1:12" x14ac:dyDescent="0.45">
      <c r="A41" t="str">
        <f>_xlfn.XLOOKUP(C41,consol_Map!B:B,consol_Map!C:C,"",0)</f>
        <v>Inventories</v>
      </c>
      <c r="B41">
        <v>11340010</v>
      </c>
      <c r="C41" t="s">
        <v>1115</v>
      </c>
      <c r="F41" s="16">
        <f>IFERROR(INDEX('Name Redacted (TB)'!$F:$F,MATCH(B41,'Name Redacted (TB)'!$B:$B,0)),VALUE("0"))</f>
        <v>-401330.27</v>
      </c>
      <c r="H41" s="16">
        <f>IFERROR(SUMIFS('BnC (TB-Dec21)'!J:J,'BnC (TB-Dec21)'!I:I,C41),VALUE("0"))</f>
        <v>0</v>
      </c>
      <c r="J41" s="21">
        <f t="shared" si="0"/>
        <v>-401330.27</v>
      </c>
      <c r="K41" s="83">
        <f>SUMIFS('Consol Entries'!D:D,'Consol Entries'!C:C,C41)</f>
        <v>0</v>
      </c>
      <c r="L41" s="21">
        <f t="shared" si="1"/>
        <v>-401330.27</v>
      </c>
    </row>
    <row r="42" spans="1:12" x14ac:dyDescent="0.45">
      <c r="A42" t="str">
        <f>_xlfn.XLOOKUP(C42,consol_Map!B:B,consol_Map!C:C,"",0)</f>
        <v>Inventories</v>
      </c>
      <c r="B42">
        <v>11350030</v>
      </c>
      <c r="C42" t="s">
        <v>1116</v>
      </c>
      <c r="F42" s="16">
        <f>IFERROR(INDEX('Name Redacted (TB)'!$F:$F,MATCH(B42,'Name Redacted (TB)'!$B:$B,0)),VALUE("0"))</f>
        <v>-459623.99</v>
      </c>
      <c r="H42" s="16">
        <f>IFERROR(SUMIFS('BnC (TB-Dec21)'!J:J,'BnC (TB-Dec21)'!I:I,C42),VALUE("0"))</f>
        <v>0</v>
      </c>
      <c r="J42" s="21">
        <f t="shared" si="0"/>
        <v>-459623.99</v>
      </c>
      <c r="K42" s="83">
        <f>SUMIFS('Consol Entries'!D:D,'Consol Entries'!C:C,C42)</f>
        <v>0</v>
      </c>
      <c r="L42" s="21">
        <f t="shared" si="1"/>
        <v>-459623.99</v>
      </c>
    </row>
    <row r="43" spans="1:12" x14ac:dyDescent="0.45">
      <c r="A43" t="str">
        <f>_xlfn.XLOOKUP(C43,consol_Map!B:B,consol_Map!C:C,"",0)</f>
        <v>Inventories</v>
      </c>
      <c r="C43" t="s">
        <v>1392</v>
      </c>
      <c r="F43" s="16">
        <f>IFERROR(INDEX('Name Redacted (TB)'!$F:$F,MATCH(B43,'Name Redacted (TB)'!$B:$B,0)),VALUE("0"))</f>
        <v>0</v>
      </c>
      <c r="H43" s="16">
        <f>IFERROR(SUMIFS('BnC (TB-Dec21)'!J:J,'BnC (TB-Dec21)'!I:I,C43),VALUE("0"))</f>
        <v>157065.1999999939</v>
      </c>
      <c r="J43" s="21">
        <f t="shared" si="0"/>
        <v>157065.1999999939</v>
      </c>
      <c r="K43" s="83">
        <f>SUMIFS('Consol Entries'!D:D,'Consol Entries'!C:C,C43)</f>
        <v>0</v>
      </c>
      <c r="L43" s="21">
        <f t="shared" si="1"/>
        <v>157065.1999999939</v>
      </c>
    </row>
    <row r="44" spans="1:12" x14ac:dyDescent="0.45">
      <c r="A44" t="str">
        <f>_xlfn.XLOOKUP(C44,consol_Map!B:B,consol_Map!C:C,"",0)</f>
        <v>Trade and other receivables</v>
      </c>
      <c r="B44">
        <v>11500010</v>
      </c>
      <c r="C44" t="s">
        <v>1117</v>
      </c>
      <c r="F44" s="16">
        <f>IFERROR(INDEX('Name Redacted (TB)'!$F:$F,MATCH(B44,'Name Redacted (TB)'!$B:$B,0)),VALUE("0"))</f>
        <v>447232.6</v>
      </c>
      <c r="H44" s="16">
        <f>IFERROR(SUMIFS('BnC (TB-Dec21)'!J:J,'BnC (TB-Dec21)'!I:I,C44),VALUE("0"))</f>
        <v>0</v>
      </c>
      <c r="J44" s="21">
        <f t="shared" si="0"/>
        <v>447232.6</v>
      </c>
      <c r="K44" s="83">
        <f>SUMIFS('Consol Entries'!D:D,'Consol Entries'!C:C,C44)</f>
        <v>0</v>
      </c>
      <c r="L44" s="21">
        <f t="shared" si="1"/>
        <v>447232.6</v>
      </c>
    </row>
    <row r="45" spans="1:12" x14ac:dyDescent="0.45">
      <c r="A45" t="str">
        <f>_xlfn.XLOOKUP(C45,consol_Map!B:B,consol_Map!C:C,"",0)</f>
        <v>Trade and other receivables</v>
      </c>
      <c r="C45" t="s">
        <v>1422</v>
      </c>
      <c r="F45" s="16">
        <f>IFERROR(INDEX('Name Redacted (TB)'!$F:$F,MATCH(B45,'Name Redacted (TB)'!$B:$B,0)),VALUE("0"))</f>
        <v>0</v>
      </c>
      <c r="H45" s="16">
        <f>IFERROR(SUMIFS('BnC (TB-Dec21)'!J:J,'BnC (TB-Dec21)'!I:I,C45),VALUE("0"))</f>
        <v>460205.37</v>
      </c>
      <c r="J45" s="21">
        <f t="shared" si="0"/>
        <v>460205.37</v>
      </c>
      <c r="K45" s="83">
        <f>SUMIFS('Consol Entries'!D:D,'Consol Entries'!C:C,C45)</f>
        <v>0</v>
      </c>
      <c r="L45" s="21">
        <f t="shared" si="1"/>
        <v>460205.37</v>
      </c>
    </row>
    <row r="46" spans="1:12" x14ac:dyDescent="0.45">
      <c r="A46" t="str">
        <f>_xlfn.XLOOKUP(C46,consol_Map!B:B,consol_Map!C:C,"",0)</f>
        <v>Trade and other receivables</v>
      </c>
      <c r="B46">
        <v>11500030</v>
      </c>
      <c r="C46" t="s">
        <v>1556</v>
      </c>
      <c r="F46" s="16">
        <f>IFERROR(INDEX('Name Redacted (TB)'!$F:$F,MATCH(B46,'Name Redacted (TB)'!$B:$B,0)),VALUE("0"))</f>
        <v>-456199</v>
      </c>
      <c r="H46" s="16">
        <f>IFERROR(SUMIFS('BnC (TB-Dec21)'!J:J,'BnC (TB-Dec21)'!I:I,C46),VALUE("0"))</f>
        <v>0</v>
      </c>
      <c r="J46" s="21">
        <f t="shared" ref="J46" si="4">F46+H46</f>
        <v>-456199</v>
      </c>
      <c r="K46" s="83">
        <f>SUMIFS('Consol Entries'!D:D,'Consol Entries'!C:C,C46)</f>
        <v>0</v>
      </c>
      <c r="L46" s="21">
        <f t="shared" ref="L46" si="5">SUM(J46:K46)</f>
        <v>-456199</v>
      </c>
    </row>
    <row r="47" spans="1:12" x14ac:dyDescent="0.45">
      <c r="A47" t="str">
        <f>_xlfn.XLOOKUP(C47,consol_Map!B:B,consol_Map!C:C,"",0)</f>
        <v>Prepayments</v>
      </c>
      <c r="B47">
        <v>11500040</v>
      </c>
      <c r="C47" t="s">
        <v>1118</v>
      </c>
      <c r="F47" s="16">
        <f>IFERROR(INDEX('Name Redacted (TB)'!$F:$F,MATCH(B47,'Name Redacted (TB)'!$B:$B,0)),VALUE("0"))</f>
        <v>397038.15</v>
      </c>
      <c r="H47" s="16">
        <f>IFERROR(SUMIFS('BnC (TB-Dec21)'!J:J,'BnC (TB-Dec21)'!I:I,C47),VALUE("0"))</f>
        <v>0</v>
      </c>
      <c r="J47" s="21">
        <f t="shared" si="0"/>
        <v>397038.15</v>
      </c>
      <c r="K47" s="83">
        <f>SUMIFS('Consol Entries'!D:D,'Consol Entries'!C:C,C47)</f>
        <v>0</v>
      </c>
      <c r="L47" s="21">
        <f t="shared" si="1"/>
        <v>397038.15</v>
      </c>
    </row>
    <row r="48" spans="1:12" x14ac:dyDescent="0.45">
      <c r="A48" t="str">
        <f>_xlfn.XLOOKUP(C48,consol_Map!B:B,consol_Map!C:C,"",0)</f>
        <v>Prepayments</v>
      </c>
      <c r="C48" t="s">
        <v>1391</v>
      </c>
      <c r="F48" s="16">
        <f>IFERROR(INDEX('Name Redacted (TB)'!$F:$F,MATCH(B48,'Name Redacted (TB)'!$B:$B,0)),VALUE("0"))</f>
        <v>0</v>
      </c>
      <c r="H48" s="16">
        <f>IFERROR(SUMIFS('BnC (TB-Dec21)'!J:J,'BnC (TB-Dec21)'!I:I,C48),VALUE("0"))</f>
        <v>590295.21</v>
      </c>
      <c r="J48" s="21">
        <f t="shared" si="0"/>
        <v>590295.21</v>
      </c>
      <c r="K48" s="83">
        <f>SUMIFS('Consol Entries'!D:D,'Consol Entries'!C:C,C48)</f>
        <v>0</v>
      </c>
      <c r="L48" s="21">
        <f t="shared" si="1"/>
        <v>590295.21</v>
      </c>
    </row>
    <row r="49" spans="1:12" x14ac:dyDescent="0.45">
      <c r="A49" t="str">
        <f>_xlfn.XLOOKUP(C49,consol_Map!B:B,consol_Map!C:C,"",0)</f>
        <v>Trade and other receivables</v>
      </c>
      <c r="B49">
        <v>11500045</v>
      </c>
      <c r="C49" t="s">
        <v>1119</v>
      </c>
      <c r="F49" s="16">
        <f>IFERROR(INDEX('Name Redacted (TB)'!$F:$F,MATCH(B49,'Name Redacted (TB)'!$B:$B,0)),VALUE("0"))</f>
        <v>52077.13</v>
      </c>
      <c r="H49" s="16">
        <f>IFERROR(SUMIFS('BnC (TB-Dec21)'!J:J,'BnC (TB-Dec21)'!I:I,C49),VALUE("0"))</f>
        <v>0</v>
      </c>
      <c r="J49" s="21">
        <f t="shared" si="0"/>
        <v>52077.13</v>
      </c>
      <c r="K49" s="83">
        <f>SUMIFS('Consol Entries'!D:D,'Consol Entries'!C:C,C49)</f>
        <v>0</v>
      </c>
      <c r="L49" s="21">
        <f t="shared" si="1"/>
        <v>52077.13</v>
      </c>
    </row>
    <row r="50" spans="1:12" x14ac:dyDescent="0.45">
      <c r="A50" t="str">
        <f>_xlfn.XLOOKUP(C50,consol_Map!B:B,consol_Map!C:C,"",0)</f>
        <v>Trade and other receivables</v>
      </c>
      <c r="B50">
        <v>11500060</v>
      </c>
      <c r="C50" t="s">
        <v>1120</v>
      </c>
      <c r="F50" s="16">
        <f>IFERROR(INDEX('Name Redacted (TB)'!$F:$F,MATCH(B50,'Name Redacted (TB)'!$B:$B,0)),VALUE("0"))</f>
        <v>2597493.94</v>
      </c>
      <c r="H50" s="16">
        <f>IFERROR(SUMIFS('BnC (TB-Dec21)'!J:J,'BnC (TB-Dec21)'!I:I,C50),VALUE("0"))</f>
        <v>0</v>
      </c>
      <c r="J50" s="21">
        <f t="shared" si="0"/>
        <v>2597493.94</v>
      </c>
      <c r="K50" s="83">
        <f>SUMIFS('Consol Entries'!D:D,'Consol Entries'!C:C,C50)</f>
        <v>0</v>
      </c>
      <c r="L50" s="21">
        <f t="shared" si="1"/>
        <v>2597493.94</v>
      </c>
    </row>
    <row r="51" spans="1:12" x14ac:dyDescent="0.45">
      <c r="A51" t="str">
        <f>_xlfn.XLOOKUP(C51,consol_Map!B:B,consol_Map!C:C,"",0)</f>
        <v>Trade and other receivables</v>
      </c>
      <c r="B51">
        <v>11500066</v>
      </c>
      <c r="C51" t="s">
        <v>1121</v>
      </c>
      <c r="F51" s="16">
        <f>IFERROR(INDEX('Name Redacted (TB)'!$F:$F,MATCH(B51,'Name Redacted (TB)'!$B:$B,0)),VALUE("0"))</f>
        <v>591287.75</v>
      </c>
      <c r="H51" s="16">
        <f>IFERROR(SUMIFS('BnC (TB-Dec21)'!J:J,'BnC (TB-Dec21)'!I:I,C51),VALUE("0"))</f>
        <v>0</v>
      </c>
      <c r="J51" s="21">
        <f t="shared" si="0"/>
        <v>591287.75</v>
      </c>
      <c r="K51" s="83">
        <f>SUMIFS('Consol Entries'!D:D,'Consol Entries'!C:C,C51)</f>
        <v>0</v>
      </c>
      <c r="L51" s="21">
        <f t="shared" si="1"/>
        <v>591287.75</v>
      </c>
    </row>
    <row r="52" spans="1:12" x14ac:dyDescent="0.45">
      <c r="A52" t="str">
        <f>_xlfn.XLOOKUP(C52,consol_Map!B:B,consol_Map!C:C,"",0)</f>
        <v>Trade and other receivables</v>
      </c>
      <c r="B52">
        <v>11500070</v>
      </c>
      <c r="C52" t="s">
        <v>1122</v>
      </c>
      <c r="F52" s="16">
        <f>IFERROR(INDEX('Name Redacted (TB)'!$F:$F,MATCH(B52,'Name Redacted (TB)'!$B:$B,0)),VALUE("0"))</f>
        <v>500071</v>
      </c>
      <c r="H52" s="16">
        <f>IFERROR(SUMIFS('BnC (TB-Dec21)'!J:J,'BnC (TB-Dec21)'!I:I,C52),VALUE("0"))</f>
        <v>0</v>
      </c>
      <c r="J52" s="21">
        <f t="shared" si="0"/>
        <v>500071</v>
      </c>
      <c r="K52" s="83">
        <f>SUMIFS('Consol Entries'!D:D,'Consol Entries'!C:C,C52)</f>
        <v>0</v>
      </c>
      <c r="L52" s="21">
        <f t="shared" si="1"/>
        <v>500071</v>
      </c>
    </row>
    <row r="53" spans="1:12" x14ac:dyDescent="0.45">
      <c r="A53" t="str">
        <f>_xlfn.XLOOKUP(C53,consol_Map!B:B,consol_Map!C:C,"",0)</f>
        <v>Trade and other receivables</v>
      </c>
      <c r="C53" t="s">
        <v>1390</v>
      </c>
      <c r="F53" s="16">
        <f>IFERROR(INDEX('Name Redacted (TB)'!$F:$F,MATCH(B53,'Name Redacted (TB)'!$B:$B,0)),VALUE("0"))</f>
        <v>0</v>
      </c>
      <c r="H53" s="16">
        <f>IFERROR(SUMIFS('BnC (TB-Dec21)'!J:J,'BnC (TB-Dec21)'!I:I,C53),VALUE("0"))</f>
        <v>126892.05000000005</v>
      </c>
      <c r="J53" s="21">
        <f t="shared" si="0"/>
        <v>126892.05000000005</v>
      </c>
      <c r="K53" s="83">
        <f>SUMIFS('Consol Entries'!D:D,'Consol Entries'!C:C,C53)</f>
        <v>0</v>
      </c>
      <c r="L53" s="21">
        <f t="shared" si="1"/>
        <v>126892.05000000005</v>
      </c>
    </row>
    <row r="54" spans="1:12" x14ac:dyDescent="0.45">
      <c r="A54" t="str">
        <f>_xlfn.XLOOKUP(C54,consol_Map!B:B,consol_Map!C:C,"",0)</f>
        <v>Trade and other receivables</v>
      </c>
      <c r="B54">
        <v>11500080</v>
      </c>
      <c r="C54" t="s">
        <v>1123</v>
      </c>
      <c r="F54" s="16">
        <f>IFERROR(INDEX('Name Redacted (TB)'!$F:$F,MATCH(B54,'Name Redacted (TB)'!$B:$B,0)),VALUE("0"))</f>
        <v>459679</v>
      </c>
      <c r="H54" s="16">
        <f>IFERROR(SUMIFS('BnC (TB-Dec21)'!J:J,'BnC (TB-Dec21)'!I:I,C54),VALUE("0"))</f>
        <v>0</v>
      </c>
      <c r="J54" s="21">
        <f t="shared" si="0"/>
        <v>459679</v>
      </c>
      <c r="K54" s="83">
        <f>SUMIFS('Consol Entries'!D:D,'Consol Entries'!C:C,C54)</f>
        <v>0</v>
      </c>
      <c r="L54" s="21">
        <f t="shared" si="1"/>
        <v>459679</v>
      </c>
    </row>
    <row r="55" spans="1:12" x14ac:dyDescent="0.45">
      <c r="A55" t="str">
        <f>_xlfn.XLOOKUP(C55,consol_Map!B:B,consol_Map!C:C,"",0)</f>
        <v>Trade and other receivables</v>
      </c>
      <c r="B55">
        <v>11500090</v>
      </c>
      <c r="C55" t="s">
        <v>1124</v>
      </c>
      <c r="F55" s="16">
        <f>IFERROR(INDEX('Name Redacted (TB)'!$F:$F,MATCH(B55,'Name Redacted (TB)'!$B:$B,0)),VALUE("0"))</f>
        <v>465050.93</v>
      </c>
      <c r="H55" s="16">
        <f>IFERROR(SUMIFS('BnC (TB-Dec21)'!J:J,'BnC (TB-Dec21)'!I:I,C55),VALUE("0"))</f>
        <v>0</v>
      </c>
      <c r="J55" s="21">
        <f t="shared" si="0"/>
        <v>465050.93</v>
      </c>
      <c r="K55" s="83">
        <f>SUMIFS('Consol Entries'!D:D,'Consol Entries'!C:C,C55)</f>
        <v>0</v>
      </c>
      <c r="L55" s="21">
        <f t="shared" si="1"/>
        <v>465050.93</v>
      </c>
    </row>
    <row r="56" spans="1:12" x14ac:dyDescent="0.45">
      <c r="A56" t="str">
        <f>_xlfn.XLOOKUP(C56,consol_Map!B:B,consol_Map!C:C,"",0)</f>
        <v>Trade and other receivables</v>
      </c>
      <c r="C56" t="s">
        <v>1420</v>
      </c>
      <c r="F56" s="16">
        <f>IFERROR(INDEX('Name Redacted (TB)'!$F:$F,MATCH(B56,'Name Redacted (TB)'!$B:$B,0)),VALUE("0"))</f>
        <v>0</v>
      </c>
      <c r="H56" s="16">
        <f>IFERROR(SUMIFS('BnC (TB-Dec21)'!J:J,'BnC (TB-Dec21)'!I:I,C56),VALUE("0"))</f>
        <v>-459679</v>
      </c>
      <c r="J56" s="21">
        <f t="shared" si="0"/>
        <v>-459679</v>
      </c>
      <c r="K56" s="83">
        <f>SUMIFS('Consol Entries'!D:D,'Consol Entries'!C:C,C56)</f>
        <v>0</v>
      </c>
      <c r="L56" s="21">
        <f t="shared" si="1"/>
        <v>-459679</v>
      </c>
    </row>
    <row r="57" spans="1:12" x14ac:dyDescent="0.45">
      <c r="A57" t="str">
        <f>_xlfn.XLOOKUP(C57,consol_Map!B:B,consol_Map!C:C,"",0)</f>
        <v>XXXXXX</v>
      </c>
      <c r="B57">
        <v>12200010</v>
      </c>
      <c r="C57" t="s">
        <v>1125</v>
      </c>
      <c r="F57" s="16">
        <f>IFERROR(INDEX('Name Redacted (TB)'!$F:$F,MATCH(B57,'Name Redacted (TB)'!$B:$B,0)),VALUE("0"))</f>
        <v>24500000</v>
      </c>
      <c r="H57" s="16">
        <f>IFERROR(SUMIFS('BnC (TB-Dec21)'!J:J,'BnC (TB-Dec21)'!I:I,C57),VALUE("0"))</f>
        <v>0</v>
      </c>
      <c r="J57" s="21">
        <f t="shared" si="0"/>
        <v>24500000</v>
      </c>
      <c r="K57" s="83">
        <f>SUMIFS('Consol Entries'!D:D,'Consol Entries'!C:C,C57)</f>
        <v>-24500000</v>
      </c>
      <c r="L57" s="21">
        <f t="shared" si="1"/>
        <v>0</v>
      </c>
    </row>
    <row r="58" spans="1:12" x14ac:dyDescent="0.45">
      <c r="A58" t="str">
        <f>_xlfn.XLOOKUP(C58,consol_Map!B:B,consol_Map!C:C,"",0)</f>
        <v>Property, plant and equipment</v>
      </c>
      <c r="B58">
        <v>12500010</v>
      </c>
      <c r="C58" t="s">
        <v>1126</v>
      </c>
      <c r="F58" s="16">
        <f>IFERROR(INDEX('Name Redacted (TB)'!$F:$F,MATCH(B58,'Name Redacted (TB)'!$B:$B,0)),VALUE("0"))</f>
        <v>559381.91</v>
      </c>
      <c r="H58" s="16">
        <f>IFERROR(SUMIFS('BnC (TB-Dec21)'!J:J,'BnC (TB-Dec21)'!I:I,C58),VALUE("0"))</f>
        <v>0</v>
      </c>
      <c r="J58" s="21">
        <f t="shared" si="0"/>
        <v>559381.91</v>
      </c>
      <c r="K58" s="83">
        <f>SUMIFS('Consol Entries'!D:D,'Consol Entries'!C:C,C58)</f>
        <v>0</v>
      </c>
      <c r="L58" s="21">
        <f t="shared" si="1"/>
        <v>559381.91</v>
      </c>
    </row>
    <row r="59" spans="1:12" x14ac:dyDescent="0.45">
      <c r="A59" t="str">
        <f>_xlfn.XLOOKUP(C59,consol_Map!B:B,consol_Map!C:C,"",0)</f>
        <v>Property, plant and equipment</v>
      </c>
      <c r="B59">
        <v>12500050</v>
      </c>
      <c r="C59" t="s">
        <v>1127</v>
      </c>
      <c r="F59" s="16">
        <f>IFERROR(INDEX('Name Redacted (TB)'!$F:$F,MATCH(B59,'Name Redacted (TB)'!$B:$B,0)),VALUE("0"))</f>
        <v>4337554.0600000005</v>
      </c>
      <c r="H59" s="16">
        <f>IFERROR(SUMIFS('BnC (TB-Dec21)'!J:J,'BnC (TB-Dec21)'!I:I,C59),VALUE("0"))</f>
        <v>0</v>
      </c>
      <c r="J59" s="21">
        <f t="shared" si="0"/>
        <v>4337554.0600000005</v>
      </c>
      <c r="K59" s="83">
        <f>SUMIFS('Consol Entries'!D:D,'Consol Entries'!C:C,C59)</f>
        <v>0</v>
      </c>
      <c r="L59" s="21">
        <f t="shared" si="1"/>
        <v>4337554.0600000005</v>
      </c>
    </row>
    <row r="60" spans="1:12" x14ac:dyDescent="0.45">
      <c r="A60" t="str">
        <f>_xlfn.XLOOKUP(C60,consol_Map!B:B,consol_Map!C:C,"",0)</f>
        <v>Property, plant and equipment</v>
      </c>
      <c r="B60">
        <v>12500060</v>
      </c>
      <c r="C60" t="s">
        <v>1128</v>
      </c>
      <c r="F60" s="16">
        <f>IFERROR(INDEX('Name Redacted (TB)'!$F:$F,MATCH(B60,'Name Redacted (TB)'!$B:$B,0)),VALUE("0"))</f>
        <v>-1512994.98</v>
      </c>
      <c r="H60" s="16">
        <f>IFERROR(SUMIFS('BnC (TB-Dec21)'!J:J,'BnC (TB-Dec21)'!I:I,C60),VALUE("0"))</f>
        <v>0</v>
      </c>
      <c r="J60" s="21">
        <f t="shared" si="0"/>
        <v>-1512994.98</v>
      </c>
      <c r="K60" s="83">
        <f>SUMIFS('Consol Entries'!D:D,'Consol Entries'!C:C,C60)</f>
        <v>0</v>
      </c>
      <c r="L60" s="21">
        <f t="shared" si="1"/>
        <v>-1512994.98</v>
      </c>
    </row>
    <row r="61" spans="1:12" x14ac:dyDescent="0.45">
      <c r="A61" t="str">
        <f>_xlfn.XLOOKUP(C61,consol_Map!B:B,consol_Map!C:C,"",0)</f>
        <v>Property, plant and equipment</v>
      </c>
      <c r="B61">
        <v>12500070</v>
      </c>
      <c r="C61" t="s">
        <v>1129</v>
      </c>
      <c r="F61" s="16">
        <f>IFERROR(INDEX('Name Redacted (TB)'!$F:$F,MATCH(B61,'Name Redacted (TB)'!$B:$B,0)),VALUE("0"))</f>
        <v>833445.27</v>
      </c>
      <c r="H61" s="16">
        <f>IFERROR(SUMIFS('BnC (TB-Dec21)'!J:J,'BnC (TB-Dec21)'!I:I,C61),VALUE("0"))</f>
        <v>0</v>
      </c>
      <c r="J61" s="21">
        <f t="shared" si="0"/>
        <v>833445.27</v>
      </c>
      <c r="K61" s="83">
        <f>SUMIFS('Consol Entries'!D:D,'Consol Entries'!C:C,C61)</f>
        <v>0</v>
      </c>
      <c r="L61" s="21">
        <f t="shared" si="1"/>
        <v>833445.27</v>
      </c>
    </row>
    <row r="62" spans="1:12" x14ac:dyDescent="0.45">
      <c r="A62" t="str">
        <f>_xlfn.XLOOKUP(C62,consol_Map!B:B,consol_Map!C:C,"",0)</f>
        <v>Property, plant and equipment</v>
      </c>
      <c r="B62">
        <v>12500080</v>
      </c>
      <c r="C62" t="s">
        <v>1130</v>
      </c>
      <c r="F62" s="16">
        <f>IFERROR(INDEX('Name Redacted (TB)'!$F:$F,MATCH(B62,'Name Redacted (TB)'!$B:$B,0)),VALUE("0"))</f>
        <v>268770.42000000004</v>
      </c>
      <c r="H62" s="16">
        <f>IFERROR(SUMIFS('BnC (TB-Dec21)'!J:J,'BnC (TB-Dec21)'!I:I,C62),VALUE("0"))</f>
        <v>0</v>
      </c>
      <c r="J62" s="21">
        <f t="shared" si="0"/>
        <v>268770.42000000004</v>
      </c>
      <c r="K62" s="83">
        <f>SUMIFS('Consol Entries'!D:D,'Consol Entries'!C:C,C62)</f>
        <v>0</v>
      </c>
      <c r="L62" s="21">
        <f t="shared" si="1"/>
        <v>268770.42000000004</v>
      </c>
    </row>
    <row r="63" spans="1:12" x14ac:dyDescent="0.45">
      <c r="A63" t="str">
        <f>_xlfn.XLOOKUP(C63,consol_Map!B:B,consol_Map!C:C,"",0)</f>
        <v>Property, plant and equipment</v>
      </c>
      <c r="B63">
        <v>12500090</v>
      </c>
      <c r="C63" t="s">
        <v>1131</v>
      </c>
      <c r="F63" s="16">
        <f>IFERROR(INDEX('Name Redacted (TB)'!$F:$F,MATCH(B63,'Name Redacted (TB)'!$B:$B,0)),VALUE("0"))</f>
        <v>891536.71</v>
      </c>
      <c r="H63" s="16">
        <f>IFERROR(SUMIFS('BnC (TB-Dec21)'!J:J,'BnC (TB-Dec21)'!I:I,C63),VALUE("0"))</f>
        <v>0</v>
      </c>
      <c r="J63" s="21">
        <f t="shared" si="0"/>
        <v>891536.71</v>
      </c>
      <c r="K63" s="83">
        <f>SUMIFS('Consol Entries'!D:D,'Consol Entries'!C:C,C63)</f>
        <v>0</v>
      </c>
      <c r="L63" s="21">
        <f t="shared" si="1"/>
        <v>891536.71</v>
      </c>
    </row>
    <row r="64" spans="1:12" x14ac:dyDescent="0.45">
      <c r="A64" t="str">
        <f>_xlfn.XLOOKUP(C64,consol_Map!B:B,consol_Map!C:C,"",0)</f>
        <v>Property, plant and equipment</v>
      </c>
      <c r="B64">
        <v>12500100</v>
      </c>
      <c r="C64" t="s">
        <v>1132</v>
      </c>
      <c r="F64" s="16">
        <f>IFERROR(INDEX('Name Redacted (TB)'!$F:$F,MATCH(B64,'Name Redacted (TB)'!$B:$B,0)),VALUE("0"))</f>
        <v>328278.01</v>
      </c>
      <c r="H64" s="16">
        <f>IFERROR(SUMIFS('BnC (TB-Dec21)'!J:J,'BnC (TB-Dec21)'!I:I,C64),VALUE("0"))</f>
        <v>0</v>
      </c>
      <c r="J64" s="21">
        <f t="shared" si="0"/>
        <v>328278.01</v>
      </c>
      <c r="K64" s="83">
        <f>SUMIFS('Consol Entries'!D:D,'Consol Entries'!C:C,C64)</f>
        <v>0</v>
      </c>
      <c r="L64" s="21">
        <f t="shared" si="1"/>
        <v>328278.01</v>
      </c>
    </row>
    <row r="65" spans="1:12" x14ac:dyDescent="0.45">
      <c r="A65" t="str">
        <f>_xlfn.XLOOKUP(C65,consol_Map!B:B,consol_Map!C:C,"",0)</f>
        <v>Property, plant and equipment</v>
      </c>
      <c r="B65">
        <v>12500110</v>
      </c>
      <c r="C65" t="s">
        <v>1133</v>
      </c>
      <c r="F65" s="16">
        <f>IFERROR(INDEX('Name Redacted (TB)'!$F:$F,MATCH(B65,'Name Redacted (TB)'!$B:$B,0)),VALUE("0"))</f>
        <v>1426870.61</v>
      </c>
      <c r="H65" s="16">
        <f>IFERROR(SUMIFS('BnC (TB-Dec21)'!J:J,'BnC (TB-Dec21)'!I:I,C65),VALUE("0"))</f>
        <v>0</v>
      </c>
      <c r="J65" s="21">
        <f t="shared" si="0"/>
        <v>1426870.61</v>
      </c>
      <c r="K65" s="83">
        <f>SUMIFS('Consol Entries'!D:D,'Consol Entries'!C:C,C65)</f>
        <v>0</v>
      </c>
      <c r="L65" s="21">
        <f t="shared" si="1"/>
        <v>1426870.61</v>
      </c>
    </row>
    <row r="66" spans="1:12" x14ac:dyDescent="0.45">
      <c r="A66" t="str">
        <f>_xlfn.XLOOKUP(C66,consol_Map!B:B,consol_Map!C:C,"",0)</f>
        <v>Property, plant and equipment</v>
      </c>
      <c r="B66">
        <v>12500120</v>
      </c>
      <c r="C66" t="s">
        <v>1134</v>
      </c>
      <c r="F66" s="16">
        <f>IFERROR(INDEX('Name Redacted (TB)'!$F:$F,MATCH(B66,'Name Redacted (TB)'!$B:$B,0)),VALUE("0"))</f>
        <v>-10764.280000000028</v>
      </c>
      <c r="H66" s="16">
        <f>IFERROR(SUMIFS('BnC (TB-Dec21)'!J:J,'BnC (TB-Dec21)'!I:I,C66),VALUE("0"))</f>
        <v>0</v>
      </c>
      <c r="J66" s="21">
        <f t="shared" si="0"/>
        <v>-10764.280000000028</v>
      </c>
      <c r="K66" s="83">
        <f>SUMIFS('Consol Entries'!D:D,'Consol Entries'!C:C,C66)</f>
        <v>0</v>
      </c>
      <c r="L66" s="21">
        <f t="shared" si="1"/>
        <v>-10764.280000000028</v>
      </c>
    </row>
    <row r="67" spans="1:12" x14ac:dyDescent="0.45">
      <c r="A67" t="str">
        <f>_xlfn.XLOOKUP(C67,consol_Map!B:B,consol_Map!C:C,"",0)</f>
        <v>Property, plant and equipment</v>
      </c>
      <c r="B67">
        <v>12500130</v>
      </c>
      <c r="C67" t="s">
        <v>1135</v>
      </c>
      <c r="F67" s="16">
        <f>IFERROR(INDEX('Name Redacted (TB)'!$F:$F,MATCH(B67,'Name Redacted (TB)'!$B:$B,0)),VALUE("0"))</f>
        <v>-431541</v>
      </c>
      <c r="H67" s="16">
        <f>IFERROR(SUMIFS('BnC (TB-Dec21)'!J:J,'BnC (TB-Dec21)'!I:I,C67),VALUE("0"))</f>
        <v>0</v>
      </c>
      <c r="J67" s="21">
        <f t="shared" si="0"/>
        <v>-431541</v>
      </c>
      <c r="K67" s="83">
        <f>SUMIFS('Consol Entries'!D:D,'Consol Entries'!C:C,C67)</f>
        <v>0</v>
      </c>
      <c r="L67" s="21">
        <f t="shared" si="1"/>
        <v>-431541</v>
      </c>
    </row>
    <row r="68" spans="1:12" x14ac:dyDescent="0.45">
      <c r="A68" t="str">
        <f>_xlfn.XLOOKUP(C68,consol_Map!B:B,consol_Map!C:C,"",0)</f>
        <v>Property, plant and equipment</v>
      </c>
      <c r="B68">
        <v>12500140</v>
      </c>
      <c r="C68" t="s">
        <v>1136</v>
      </c>
      <c r="F68" s="16">
        <f>IFERROR(INDEX('Name Redacted (TB)'!$F:$F,MATCH(B68,'Name Redacted (TB)'!$B:$B,0)),VALUE("0"))</f>
        <v>443600.14</v>
      </c>
      <c r="H68" s="16">
        <f>IFERROR(SUMIFS('BnC (TB-Dec21)'!J:J,'BnC (TB-Dec21)'!I:I,C68),VALUE("0"))</f>
        <v>0</v>
      </c>
      <c r="J68" s="21">
        <f t="shared" si="0"/>
        <v>443600.14</v>
      </c>
      <c r="K68" s="83">
        <f>SUMIFS('Consol Entries'!D:D,'Consol Entries'!C:C,C68)</f>
        <v>0</v>
      </c>
      <c r="L68" s="21">
        <f t="shared" si="1"/>
        <v>443600.14</v>
      </c>
    </row>
    <row r="69" spans="1:12" x14ac:dyDescent="0.45">
      <c r="A69" t="str">
        <f>_xlfn.XLOOKUP(C69,consol_Map!B:B,consol_Map!C:C,"",0)</f>
        <v>Property, plant and equipment</v>
      </c>
      <c r="C69" t="s">
        <v>1398</v>
      </c>
      <c r="F69" s="16">
        <f>IFERROR(INDEX('Name Redacted (TB)'!$F:$F,MATCH(B69,'Name Redacted (TB)'!$B:$B,0)),VALUE("0"))</f>
        <v>0</v>
      </c>
      <c r="H69" s="16">
        <f>IFERROR(SUMIFS('BnC (TB-Dec21)'!J:J,'BnC (TB-Dec21)'!I:I,C69),VALUE("0"))</f>
        <v>-1052722.2500000005</v>
      </c>
      <c r="J69" s="21">
        <f t="shared" si="0"/>
        <v>-1052722.2500000005</v>
      </c>
      <c r="K69" s="83">
        <f>SUMIFS('Consol Entries'!D:D,'Consol Entries'!C:C,C69)</f>
        <v>0</v>
      </c>
      <c r="L69" s="21">
        <f t="shared" si="1"/>
        <v>-1052722.2500000005</v>
      </c>
    </row>
    <row r="70" spans="1:12" x14ac:dyDescent="0.45">
      <c r="A70" t="str">
        <f>_xlfn.XLOOKUP(C70,consol_Map!B:B,consol_Map!C:C,"",0)</f>
        <v>Property, plant and equipment</v>
      </c>
      <c r="C70" t="s">
        <v>1399</v>
      </c>
      <c r="F70" s="16">
        <f>IFERROR(INDEX('Name Redacted (TB)'!$F:$F,MATCH(B70,'Name Redacted (TB)'!$B:$B,0)),VALUE("0"))</f>
        <v>0</v>
      </c>
      <c r="H70" s="16">
        <f>IFERROR(SUMIFS('BnC (TB-Dec21)'!J:J,'BnC (TB-Dec21)'!I:I,C70),VALUE("0"))</f>
        <v>-3867900.08</v>
      </c>
      <c r="J70" s="21">
        <f t="shared" si="0"/>
        <v>-3867900.08</v>
      </c>
      <c r="K70" s="83">
        <f>SUMIFS('Consol Entries'!D:D,'Consol Entries'!C:C,C70)</f>
        <v>0</v>
      </c>
      <c r="L70" s="21">
        <f t="shared" si="1"/>
        <v>-3867900.08</v>
      </c>
    </row>
    <row r="71" spans="1:12" x14ac:dyDescent="0.45">
      <c r="A71" t="str">
        <f>_xlfn.XLOOKUP(C71,consol_Map!B:B,consol_Map!C:C,"",0)</f>
        <v>Property, plant and equipment</v>
      </c>
      <c r="C71" t="s">
        <v>1400</v>
      </c>
      <c r="F71" s="16">
        <f>IFERROR(INDEX('Name Redacted (TB)'!$F:$F,MATCH(B71,'Name Redacted (TB)'!$B:$B,0)),VALUE("0"))</f>
        <v>0</v>
      </c>
      <c r="H71" s="16">
        <f>IFERROR(SUMIFS('BnC (TB-Dec21)'!J:J,'BnC (TB-Dec21)'!I:I,C71),VALUE("0"))</f>
        <v>1859372.65</v>
      </c>
      <c r="J71" s="21">
        <f t="shared" si="0"/>
        <v>1859372.65</v>
      </c>
      <c r="K71" s="83">
        <f>SUMIFS('Consol Entries'!D:D,'Consol Entries'!C:C,C71)</f>
        <v>0</v>
      </c>
      <c r="L71" s="21">
        <f t="shared" si="1"/>
        <v>1859372.65</v>
      </c>
    </row>
    <row r="72" spans="1:12" x14ac:dyDescent="0.45">
      <c r="A72" t="str">
        <f>_xlfn.XLOOKUP(C72,consol_Map!B:B,consol_Map!C:C,"",0)</f>
        <v>Property, plant and equipment</v>
      </c>
      <c r="C72" t="s">
        <v>1401</v>
      </c>
      <c r="F72" s="16">
        <f>IFERROR(INDEX('Name Redacted (TB)'!$F:$F,MATCH(B72,'Name Redacted (TB)'!$B:$B,0)),VALUE("0"))</f>
        <v>0</v>
      </c>
      <c r="H72" s="16">
        <f>IFERROR(SUMIFS('BnC (TB-Dec21)'!J:J,'BnC (TB-Dec21)'!I:I,C72),VALUE("0"))</f>
        <v>1366513.05</v>
      </c>
      <c r="J72" s="21">
        <f t="shared" si="0"/>
        <v>1366513.05</v>
      </c>
      <c r="K72" s="83">
        <f>SUMIFS('Consol Entries'!D:D,'Consol Entries'!C:C,C72)</f>
        <v>0</v>
      </c>
      <c r="L72" s="21">
        <f t="shared" si="1"/>
        <v>1366513.05</v>
      </c>
    </row>
    <row r="73" spans="1:12" x14ac:dyDescent="0.45">
      <c r="A73" t="str">
        <f>_xlfn.XLOOKUP(C73,consol_Map!B:B,consol_Map!C:C,"",0)</f>
        <v>Property, plant and equipment</v>
      </c>
      <c r="C73" t="s">
        <v>1402</v>
      </c>
      <c r="F73" s="16">
        <f>IFERROR(INDEX('Name Redacted (TB)'!$F:$F,MATCH(B73,'Name Redacted (TB)'!$B:$B,0)),VALUE("0"))</f>
        <v>0</v>
      </c>
      <c r="H73" s="16">
        <f>IFERROR(SUMIFS('BnC (TB-Dec21)'!J:J,'BnC (TB-Dec21)'!I:I,C73),VALUE("0"))</f>
        <v>7448169.1000000006</v>
      </c>
      <c r="J73" s="21">
        <f t="shared" si="0"/>
        <v>7448169.1000000006</v>
      </c>
      <c r="K73" s="83">
        <f>SUMIFS('Consol Entries'!D:D,'Consol Entries'!C:C,C73)</f>
        <v>0</v>
      </c>
      <c r="L73" s="21">
        <f t="shared" si="1"/>
        <v>7448169.1000000006</v>
      </c>
    </row>
    <row r="74" spans="1:12" x14ac:dyDescent="0.45">
      <c r="A74" t="str">
        <f>_xlfn.XLOOKUP(C74,consol_Map!B:B,consol_Map!C:C,"",0)</f>
        <v>Property, plant and equipment</v>
      </c>
      <c r="C74" t="s">
        <v>1403</v>
      </c>
      <c r="F74" s="16">
        <f>IFERROR(INDEX('Name Redacted (TB)'!$F:$F,MATCH(B74,'Name Redacted (TB)'!$B:$B,0)),VALUE("0"))</f>
        <v>0</v>
      </c>
      <c r="H74" s="16">
        <f>IFERROR(SUMIFS('BnC (TB-Dec21)'!J:J,'BnC (TB-Dec21)'!I:I,C74),VALUE("0"))</f>
        <v>-6398697.1600000001</v>
      </c>
      <c r="J74" s="21">
        <f t="shared" ref="J74:J142" si="6">F74+H74</f>
        <v>-6398697.1600000001</v>
      </c>
      <c r="K74" s="83">
        <f>SUMIFS('Consol Entries'!D:D,'Consol Entries'!C:C,C74)</f>
        <v>0</v>
      </c>
      <c r="L74" s="21">
        <f t="shared" ref="L74:L139" si="7">SUM(J74:K74)</f>
        <v>-6398697.1600000001</v>
      </c>
    </row>
    <row r="75" spans="1:12" x14ac:dyDescent="0.45">
      <c r="A75" t="str">
        <f>_xlfn.XLOOKUP(C75,consol_Map!B:B,consol_Map!C:C,"",0)</f>
        <v>Property, plant and equipment</v>
      </c>
      <c r="C75" t="s">
        <v>1386</v>
      </c>
      <c r="F75" s="16">
        <f>IFERROR(INDEX('Name Redacted (TB)'!$F:$F,MATCH(B75,'Name Redacted (TB)'!$B:$B,0)),VALUE("0"))</f>
        <v>0</v>
      </c>
      <c r="H75" s="16">
        <f>IFERROR(SUMIFS('BnC (TB-Dec21)'!J:J,'BnC (TB-Dec21)'!I:I,C75),VALUE("0"))</f>
        <v>531077.82999999996</v>
      </c>
      <c r="J75" s="21">
        <f t="shared" si="6"/>
        <v>531077.82999999996</v>
      </c>
      <c r="K75" s="83">
        <f>SUMIFS('Consol Entries'!D:D,'Consol Entries'!C:C,C75)</f>
        <v>0</v>
      </c>
      <c r="L75" s="21">
        <f t="shared" si="7"/>
        <v>531077.82999999996</v>
      </c>
    </row>
    <row r="76" spans="1:12" x14ac:dyDescent="0.45">
      <c r="A76" t="str">
        <f>_xlfn.XLOOKUP(C76,consol_Map!B:B,consol_Map!C:C,"",0)</f>
        <v>Property, plant and equipment</v>
      </c>
      <c r="C76" t="s">
        <v>1404</v>
      </c>
      <c r="F76" s="16">
        <f>IFERROR(INDEX('Name Redacted (TB)'!$F:$F,MATCH(B76,'Name Redacted (TB)'!$B:$B,0)),VALUE("0"))</f>
        <v>0</v>
      </c>
      <c r="H76" s="16">
        <f>IFERROR(SUMIFS('BnC (TB-Dec21)'!J:J,'BnC (TB-Dec21)'!I:I,C76),VALUE("0"))</f>
        <v>-388726.99</v>
      </c>
      <c r="J76" s="21">
        <f t="shared" si="6"/>
        <v>-388726.99</v>
      </c>
      <c r="K76" s="83">
        <f>SUMIFS('Consol Entries'!D:D,'Consol Entries'!C:C,C76)</f>
        <v>0</v>
      </c>
      <c r="L76" s="21">
        <f t="shared" si="7"/>
        <v>-388726.99</v>
      </c>
    </row>
    <row r="77" spans="1:12" x14ac:dyDescent="0.45">
      <c r="A77" t="str">
        <f>_xlfn.XLOOKUP(C77,consol_Map!B:B,consol_Map!C:C,"",0)</f>
        <v>Property, plant and equipment</v>
      </c>
      <c r="C77" t="s">
        <v>1405</v>
      </c>
      <c r="F77" s="16">
        <f>IFERROR(INDEX('Name Redacted (TB)'!$F:$F,MATCH(B77,'Name Redacted (TB)'!$B:$B,0)),VALUE("0"))</f>
        <v>0</v>
      </c>
      <c r="H77" s="16">
        <f>IFERROR(SUMIFS('BnC (TB-Dec21)'!J:J,'BnC (TB-Dec21)'!I:I,C77),VALUE("0"))</f>
        <v>5699115.2399999993</v>
      </c>
      <c r="J77" s="21">
        <f t="shared" si="6"/>
        <v>5699115.2399999993</v>
      </c>
      <c r="K77" s="83">
        <f>SUMIFS('Consol Entries'!D:D,'Consol Entries'!C:C,C77)</f>
        <v>0</v>
      </c>
      <c r="L77" s="21">
        <f t="shared" si="7"/>
        <v>5699115.2399999993</v>
      </c>
    </row>
    <row r="78" spans="1:12" x14ac:dyDescent="0.45">
      <c r="A78" t="str">
        <f>_xlfn.XLOOKUP(C78,consol_Map!B:B,consol_Map!C:C,"",0)</f>
        <v>Property, plant and equipment</v>
      </c>
      <c r="C78" t="s">
        <v>1406</v>
      </c>
      <c r="F78" s="16">
        <f>IFERROR(INDEX('Name Redacted (TB)'!$F:$F,MATCH(B78,'Name Redacted (TB)'!$B:$B,0)),VALUE("0"))</f>
        <v>0</v>
      </c>
      <c r="H78" s="16">
        <f>IFERROR(SUMIFS('BnC (TB-Dec21)'!J:J,'BnC (TB-Dec21)'!I:I,C78),VALUE("0"))</f>
        <v>-5696667.0699999994</v>
      </c>
      <c r="J78" s="21">
        <f t="shared" si="6"/>
        <v>-5696667.0699999994</v>
      </c>
      <c r="K78" s="83">
        <f>SUMIFS('Consol Entries'!D:D,'Consol Entries'!C:C,C78)</f>
        <v>0</v>
      </c>
      <c r="L78" s="21">
        <f t="shared" si="7"/>
        <v>-5696667.0699999994</v>
      </c>
    </row>
    <row r="79" spans="1:12" x14ac:dyDescent="0.45">
      <c r="A79" t="str">
        <f>_xlfn.XLOOKUP(C79,consol_Map!B:B,consol_Map!C:C,"",0)</f>
        <v>Property, plant and equipment</v>
      </c>
      <c r="C79" t="s">
        <v>1407</v>
      </c>
      <c r="F79" s="16">
        <f>IFERROR(INDEX('Name Redacted (TB)'!$F:$F,MATCH(B79,'Name Redacted (TB)'!$B:$B,0)),VALUE("0"))</f>
        <v>0</v>
      </c>
      <c r="H79" s="16">
        <f>IFERROR(SUMIFS('BnC (TB-Dec21)'!J:J,'BnC (TB-Dec21)'!I:I,C79),VALUE("0"))</f>
        <v>10627697.32</v>
      </c>
      <c r="J79" s="21">
        <f t="shared" si="6"/>
        <v>10627697.32</v>
      </c>
      <c r="K79" s="83">
        <f>SUMIFS('Consol Entries'!D:D,'Consol Entries'!C:C,C79)</f>
        <v>0</v>
      </c>
      <c r="L79" s="21">
        <f t="shared" si="7"/>
        <v>10627697.32</v>
      </c>
    </row>
    <row r="80" spans="1:12" x14ac:dyDescent="0.45">
      <c r="A80" t="str">
        <f>_xlfn.XLOOKUP(C80,consol_Map!B:B,consol_Map!C:C,"",0)</f>
        <v>Property, plant and equipment</v>
      </c>
      <c r="C80" t="s">
        <v>1408</v>
      </c>
      <c r="F80" s="16">
        <f>IFERROR(INDEX('Name Redacted (TB)'!$F:$F,MATCH(B80,'Name Redacted (TB)'!$B:$B,0)),VALUE("0"))</f>
        <v>0</v>
      </c>
      <c r="H80" s="16">
        <f>IFERROR(SUMIFS('BnC (TB-Dec21)'!J:J,'BnC (TB-Dec21)'!I:I,C80),VALUE("0"))</f>
        <v>-9566760.7599999979</v>
      </c>
      <c r="J80" s="21">
        <f t="shared" si="6"/>
        <v>-9566760.7599999979</v>
      </c>
      <c r="K80" s="83">
        <f>SUMIFS('Consol Entries'!D:D,'Consol Entries'!C:C,C80)</f>
        <v>0</v>
      </c>
      <c r="L80" s="21">
        <f t="shared" si="7"/>
        <v>-9566760.7599999979</v>
      </c>
    </row>
    <row r="81" spans="1:12" x14ac:dyDescent="0.45">
      <c r="A81" t="str">
        <f>_xlfn.XLOOKUP(C81,consol_Map!B:B,consol_Map!C:C,"",0)</f>
        <v>Property, plant and equipment</v>
      </c>
      <c r="C81" t="s">
        <v>1409</v>
      </c>
      <c r="F81" s="16">
        <f>IFERROR(INDEX('Name Redacted (TB)'!$F:$F,MATCH(B81,'Name Redacted (TB)'!$B:$B,0)),VALUE("0"))</f>
        <v>0</v>
      </c>
      <c r="H81" s="16">
        <f>IFERROR(SUMIFS('BnC (TB-Dec21)'!J:J,'BnC (TB-Dec21)'!I:I,C81),VALUE("0"))</f>
        <v>6108153.1200000001</v>
      </c>
      <c r="J81" s="21">
        <f t="shared" si="6"/>
        <v>6108153.1200000001</v>
      </c>
      <c r="K81" s="83">
        <f>SUMIFS('Consol Entries'!D:D,'Consol Entries'!C:C,C81)</f>
        <v>0</v>
      </c>
      <c r="L81" s="21">
        <f t="shared" si="7"/>
        <v>6108153.1200000001</v>
      </c>
    </row>
    <row r="82" spans="1:12" x14ac:dyDescent="0.45">
      <c r="A82" t="str">
        <f>_xlfn.XLOOKUP(C82,consol_Map!B:B,consol_Map!C:C,"",0)</f>
        <v>Property, plant and equipment</v>
      </c>
      <c r="C82" t="s">
        <v>1410</v>
      </c>
      <c r="F82" s="16">
        <f>IFERROR(INDEX('Name Redacted (TB)'!$F:$F,MATCH(B82,'Name Redacted (TB)'!$B:$B,0)),VALUE("0"))</f>
        <v>0</v>
      </c>
      <c r="H82" s="16">
        <f>IFERROR(SUMIFS('BnC (TB-Dec21)'!J:J,'BnC (TB-Dec21)'!I:I,C82),VALUE("0"))</f>
        <v>-6093610.4800000004</v>
      </c>
      <c r="J82" s="21">
        <f t="shared" si="6"/>
        <v>-6093610.4800000004</v>
      </c>
      <c r="K82" s="83">
        <f>SUMIFS('Consol Entries'!D:D,'Consol Entries'!C:C,C82)</f>
        <v>0</v>
      </c>
      <c r="L82" s="21">
        <f t="shared" si="7"/>
        <v>-6093610.4800000004</v>
      </c>
    </row>
    <row r="83" spans="1:12" x14ac:dyDescent="0.45">
      <c r="A83" t="str">
        <f>_xlfn.XLOOKUP(C83,consol_Map!B:B,consol_Map!C:C,"",0)</f>
        <v>Property, plant and equipment</v>
      </c>
      <c r="C83" t="s">
        <v>1411</v>
      </c>
      <c r="F83" s="16">
        <f>IFERROR(INDEX('Name Redacted (TB)'!$F:$F,MATCH(B83,'Name Redacted (TB)'!$B:$B,0)),VALUE("0"))</f>
        <v>0</v>
      </c>
      <c r="H83" s="16">
        <f>IFERROR(SUMIFS('BnC (TB-Dec21)'!J:J,'BnC (TB-Dec21)'!I:I,C83),VALUE("0"))</f>
        <v>478133.33</v>
      </c>
      <c r="J83" s="21">
        <f t="shared" si="6"/>
        <v>478133.33</v>
      </c>
      <c r="K83" s="83">
        <f>SUMIFS('Consol Entries'!D:D,'Consol Entries'!C:C,C83)</f>
        <v>0</v>
      </c>
      <c r="L83" s="21">
        <f t="shared" si="7"/>
        <v>478133.33</v>
      </c>
    </row>
    <row r="84" spans="1:12" x14ac:dyDescent="0.45">
      <c r="A84" t="str">
        <f>_xlfn.XLOOKUP(C84,consol_Map!B:B,consol_Map!C:C,"",0)</f>
        <v>Property, plant and equipment</v>
      </c>
      <c r="C84" t="s">
        <v>1412</v>
      </c>
      <c r="F84" s="16">
        <f>IFERROR(INDEX('Name Redacted (TB)'!$F:$F,MATCH(B84,'Name Redacted (TB)'!$B:$B,0)),VALUE("0"))</f>
        <v>0</v>
      </c>
      <c r="H84" s="16">
        <f>IFERROR(SUMIFS('BnC (TB-Dec21)'!J:J,'BnC (TB-Dec21)'!I:I,C84),VALUE("0"))</f>
        <v>-478133.33</v>
      </c>
      <c r="J84" s="21">
        <f t="shared" si="6"/>
        <v>-478133.33</v>
      </c>
      <c r="K84" s="83">
        <f>SUMIFS('Consol Entries'!D:D,'Consol Entries'!C:C,C84)</f>
        <v>0</v>
      </c>
      <c r="L84" s="21">
        <f t="shared" si="7"/>
        <v>-478133.33</v>
      </c>
    </row>
    <row r="85" spans="1:12" x14ac:dyDescent="0.45">
      <c r="A85" t="str">
        <f>_xlfn.XLOOKUP(C85,consol_Map!B:B,consol_Map!C:C,"",0)</f>
        <v>Right-of-use assets</v>
      </c>
      <c r="C85" t="s">
        <v>1421</v>
      </c>
      <c r="F85" s="16">
        <f>IFERROR(INDEX('Name Redacted (TB)'!$F:$F,MATCH(B85,'Name Redacted (TB)'!$B:$B,0)),VALUE("0"))</f>
        <v>0</v>
      </c>
      <c r="H85" s="16">
        <f>IFERROR(SUMIFS('BnC (TB-Dec21)'!J:J,'BnC (TB-Dec21)'!I:I,C85),VALUE("0"))</f>
        <v>3201304.0399999996</v>
      </c>
      <c r="J85" s="21">
        <f t="shared" si="6"/>
        <v>3201304.0399999996</v>
      </c>
      <c r="K85" s="83">
        <f>SUMIFS('Consol Entries'!D:D,'Consol Entries'!C:C,C85)</f>
        <v>0</v>
      </c>
      <c r="L85" s="21">
        <f t="shared" si="7"/>
        <v>3201304.0399999996</v>
      </c>
    </row>
    <row r="86" spans="1:12" s="80" customFormat="1" x14ac:dyDescent="0.45">
      <c r="A86" t="str">
        <f>_xlfn.XLOOKUP(C86,consol_Map!B:B,consol_Map!C:C,"",0)</f>
        <v>Goodwill</v>
      </c>
      <c r="B86" s="80">
        <v>12600010</v>
      </c>
      <c r="C86" s="80" t="s">
        <v>1137</v>
      </c>
      <c r="F86" s="81">
        <f>IFERROR(INDEX('Name Redacted (TB)'!$F:$F,MATCH(B86,'Name Redacted (TB)'!$B:$B,0)),VALUE("0"))</f>
        <v>17758321</v>
      </c>
      <c r="H86" s="81">
        <f>IFERROR(SUMIFS('BnC (TB-Dec21)'!J:J,'BnC (TB-Dec21)'!I:I,C86),VALUE("0"))</f>
        <v>0</v>
      </c>
      <c r="J86" s="82">
        <f t="shared" si="6"/>
        <v>17758321</v>
      </c>
      <c r="K86" s="84">
        <f>SUMIFS('Consol Entries'!D:D,'Consol Entries'!C:C,C86)</f>
        <v>22319041.737999998</v>
      </c>
      <c r="L86" s="82">
        <f t="shared" si="7"/>
        <v>40077362.737999998</v>
      </c>
    </row>
    <row r="87" spans="1:12" x14ac:dyDescent="0.45">
      <c r="A87" t="str">
        <f>_xlfn.XLOOKUP(C87,consol_Map!B:B,consol_Map!C:C,"",0)</f>
        <v>Intangible assets</v>
      </c>
      <c r="B87">
        <v>12600040</v>
      </c>
      <c r="C87" t="s">
        <v>1138</v>
      </c>
      <c r="F87" s="16">
        <f>IFERROR(INDEX('Name Redacted (TB)'!$F:$F,MATCH(B87,'Name Redacted (TB)'!$B:$B,0)),VALUE("0"))</f>
        <v>31020679</v>
      </c>
      <c r="H87" s="16">
        <f>IFERROR(SUMIFS('BnC (TB-Dec21)'!J:J,'BnC (TB-Dec21)'!I:I,C87),VALUE("0"))</f>
        <v>0</v>
      </c>
      <c r="J87" s="21">
        <f t="shared" si="6"/>
        <v>31020679</v>
      </c>
      <c r="K87" s="83">
        <f>SUMIFS('Consol Entries'!D:D,'Consol Entries'!C:C,C87)</f>
        <v>0</v>
      </c>
      <c r="L87" s="21">
        <f t="shared" si="7"/>
        <v>31020679</v>
      </c>
    </row>
    <row r="88" spans="1:12" x14ac:dyDescent="0.45">
      <c r="A88" t="str">
        <f>_xlfn.XLOOKUP(C88,consol_Map!B:B,consol_Map!C:C,"",0)</f>
        <v>Intangible assets</v>
      </c>
      <c r="B88">
        <v>12600050</v>
      </c>
      <c r="C88" t="s">
        <v>1139</v>
      </c>
      <c r="F88" s="16">
        <f>IFERROR(INDEX('Name Redacted (TB)'!$F:$F,MATCH(B88,'Name Redacted (TB)'!$B:$B,0)),VALUE("0"))</f>
        <v>-2282223.79</v>
      </c>
      <c r="H88" s="16">
        <f>IFERROR(SUMIFS('BnC (TB-Dec21)'!J:J,'BnC (TB-Dec21)'!I:I,C88),VALUE("0"))</f>
        <v>0</v>
      </c>
      <c r="J88" s="21">
        <f t="shared" si="6"/>
        <v>-2282223.79</v>
      </c>
      <c r="K88" s="83">
        <f>SUMIFS('Consol Entries'!D:D,'Consol Entries'!C:C,C88)</f>
        <v>0</v>
      </c>
      <c r="L88" s="21">
        <f t="shared" si="7"/>
        <v>-2282223.79</v>
      </c>
    </row>
    <row r="89" spans="1:12" x14ac:dyDescent="0.45">
      <c r="A89" t="str">
        <f>_xlfn.XLOOKUP(C89,consol_Map!B:B,consol_Map!C:C,"",0)</f>
        <v>Trade and other payables</v>
      </c>
      <c r="B89">
        <v>21100010</v>
      </c>
      <c r="C89" t="s">
        <v>1140</v>
      </c>
      <c r="F89" s="16">
        <f>IFERROR(INDEX('Name Redacted (TB)'!$F:$F,MATCH(B89,'Name Redacted (TB)'!$B:$B,0)),VALUE("0"))</f>
        <v>-531092.53</v>
      </c>
      <c r="H89" s="16">
        <f>IFERROR(SUMIFS('BnC (TB-Dec21)'!J:J,'BnC (TB-Dec21)'!I:I,C89),VALUE("0"))</f>
        <v>0</v>
      </c>
      <c r="J89" s="21">
        <f t="shared" si="6"/>
        <v>-531092.53</v>
      </c>
      <c r="K89" s="83">
        <f>SUMIFS('Consol Entries'!D:D,'Consol Entries'!C:C,C89)</f>
        <v>0</v>
      </c>
      <c r="L89" s="21">
        <f t="shared" si="7"/>
        <v>-531092.53</v>
      </c>
    </row>
    <row r="90" spans="1:12" x14ac:dyDescent="0.45">
      <c r="A90" t="str">
        <f>_xlfn.XLOOKUP(C90,consol_Map!B:B,consol_Map!C:C,"",0)</f>
        <v>Trade and other payables</v>
      </c>
      <c r="B90">
        <v>21100020</v>
      </c>
      <c r="C90" t="s">
        <v>1141</v>
      </c>
      <c r="F90" s="16">
        <f>IFERROR(INDEX('Name Redacted (TB)'!$F:$F,MATCH(B90,'Name Redacted (TB)'!$B:$B,0)),VALUE("0"))</f>
        <v>-2187088.1100000003</v>
      </c>
      <c r="H90" s="16">
        <f>IFERROR(SUMIFS('BnC (TB-Dec21)'!J:J,'BnC (TB-Dec21)'!I:I,C90),VALUE("0"))</f>
        <v>0</v>
      </c>
      <c r="J90" s="21">
        <f t="shared" si="6"/>
        <v>-2187088.1100000003</v>
      </c>
      <c r="K90" s="83">
        <f>SUMIFS('Consol Entries'!D:D,'Consol Entries'!C:C,C90)</f>
        <v>13683.04</v>
      </c>
      <c r="L90" s="21">
        <f t="shared" si="7"/>
        <v>-2173405.0700000003</v>
      </c>
    </row>
    <row r="91" spans="1:12" x14ac:dyDescent="0.45">
      <c r="A91" t="str">
        <f>_xlfn.XLOOKUP(C91,consol_Map!B:B,consol_Map!C:C,"",0)</f>
        <v>Trade and other payables</v>
      </c>
      <c r="B91">
        <v>21100030</v>
      </c>
      <c r="C91" t="s">
        <v>1142</v>
      </c>
      <c r="F91" s="16">
        <f>IFERROR(INDEX('Name Redacted (TB)'!$F:$F,MATCH(B91,'Name Redacted (TB)'!$B:$B,0)),VALUE("0"))</f>
        <v>-711917.55</v>
      </c>
      <c r="H91" s="16">
        <f>IFERROR(SUMIFS('BnC (TB-Dec21)'!J:J,'BnC (TB-Dec21)'!I:I,C91),VALUE("0"))</f>
        <v>0</v>
      </c>
      <c r="J91" s="21">
        <f t="shared" si="6"/>
        <v>-711917.55</v>
      </c>
      <c r="K91" s="83">
        <f>SUMIFS('Consol Entries'!D:D,'Consol Entries'!C:C,C91)</f>
        <v>0</v>
      </c>
      <c r="L91" s="21">
        <f t="shared" si="7"/>
        <v>-711917.55</v>
      </c>
    </row>
    <row r="92" spans="1:12" x14ac:dyDescent="0.45">
      <c r="A92" t="str">
        <f>_xlfn.XLOOKUP(C92,consol_Map!B:B,consol_Map!C:C,"",0)</f>
        <v>Trade and other payables</v>
      </c>
      <c r="B92">
        <v>21100050</v>
      </c>
      <c r="C92" t="s">
        <v>1143</v>
      </c>
      <c r="F92" s="16">
        <f>IFERROR(INDEX('Name Redacted (TB)'!$F:$F,MATCH(B92,'Name Redacted (TB)'!$B:$B,0)),VALUE("0"))</f>
        <v>-459564.91</v>
      </c>
      <c r="H92" s="16">
        <f>IFERROR(SUMIFS('BnC (TB-Dec21)'!J:J,'BnC (TB-Dec21)'!I:I,C92),VALUE("0"))</f>
        <v>0</v>
      </c>
      <c r="J92" s="21">
        <f t="shared" si="6"/>
        <v>-459564.91</v>
      </c>
      <c r="K92" s="83">
        <f>SUMIFS('Consol Entries'!D:D,'Consol Entries'!C:C,C92)</f>
        <v>0</v>
      </c>
      <c r="L92" s="21">
        <f t="shared" si="7"/>
        <v>-459564.91</v>
      </c>
    </row>
    <row r="93" spans="1:12" x14ac:dyDescent="0.45">
      <c r="A93" t="str">
        <f>_xlfn.XLOOKUP(C93,consol_Map!B:B,consol_Map!C:C,"",0)</f>
        <v>Trade and other payables</v>
      </c>
      <c r="B93">
        <v>21200010</v>
      </c>
      <c r="C93" t="s">
        <v>1144</v>
      </c>
      <c r="F93" s="16">
        <f>IFERROR(INDEX('Name Redacted (TB)'!$F:$F,MATCH(B93,'Name Redacted (TB)'!$B:$B,0)),VALUE("0"))</f>
        <v>237741.28</v>
      </c>
      <c r="H93" s="16">
        <f>IFERROR(SUMIFS('BnC (TB-Dec21)'!J:J,'BnC (TB-Dec21)'!I:I,C93),VALUE("0"))</f>
        <v>0</v>
      </c>
      <c r="J93" s="21">
        <f t="shared" si="6"/>
        <v>237741.28</v>
      </c>
      <c r="K93" s="83">
        <f>SUMIFS('Consol Entries'!D:D,'Consol Entries'!C:C,C93)</f>
        <v>0</v>
      </c>
      <c r="L93" s="21">
        <f t="shared" si="7"/>
        <v>237741.28</v>
      </c>
    </row>
    <row r="94" spans="1:12" x14ac:dyDescent="0.45">
      <c r="A94" t="str">
        <f>_xlfn.XLOOKUP(C94,consol_Map!B:B,consol_Map!C:C,"",0)</f>
        <v>Trade and other payables</v>
      </c>
      <c r="B94">
        <v>21200020</v>
      </c>
      <c r="C94" t="s">
        <v>1557</v>
      </c>
      <c r="F94" s="16">
        <f>IFERROR(INDEX('Name Redacted (TB)'!$F:$F,MATCH(B94,'Name Redacted (TB)'!$B:$B,0)),VALUE("0"))</f>
        <v>-463464.65</v>
      </c>
      <c r="H94" s="16">
        <f>IFERROR(SUMIFS('BnC (TB-Dec21)'!J:J,'BnC (TB-Dec21)'!I:I,C94),VALUE("0"))</f>
        <v>0</v>
      </c>
      <c r="J94" s="21">
        <f t="shared" ref="J94" si="8">F94+H94</f>
        <v>-463464.65</v>
      </c>
      <c r="K94" s="83">
        <f>SUMIFS('Consol Entries'!D:D,'Consol Entries'!C:C,C94)</f>
        <v>0</v>
      </c>
      <c r="L94" s="21">
        <f t="shared" ref="L94" si="9">SUM(J94:K94)</f>
        <v>-463464.65</v>
      </c>
    </row>
    <row r="95" spans="1:12" x14ac:dyDescent="0.45">
      <c r="A95" t="str">
        <f>_xlfn.XLOOKUP(C95,consol_Map!B:B,consol_Map!C:C,"",0)</f>
        <v>Trade and other payables</v>
      </c>
      <c r="B95">
        <v>21200030</v>
      </c>
      <c r="C95" t="s">
        <v>1145</v>
      </c>
      <c r="F95" s="16">
        <f>IFERROR(INDEX('Name Redacted (TB)'!$F:$F,MATCH(B95,'Name Redacted (TB)'!$B:$B,0)),VALUE("0"))</f>
        <v>459305.93</v>
      </c>
      <c r="H95" s="16">
        <f>IFERROR(SUMIFS('BnC (TB-Dec21)'!J:J,'BnC (TB-Dec21)'!I:I,C95),VALUE("0"))</f>
        <v>0</v>
      </c>
      <c r="J95" s="21">
        <f t="shared" si="6"/>
        <v>459305.93</v>
      </c>
      <c r="K95" s="83">
        <f>SUMIFS('Consol Entries'!D:D,'Consol Entries'!C:C,C95)</f>
        <v>0</v>
      </c>
      <c r="L95" s="21">
        <f t="shared" si="7"/>
        <v>459305.93</v>
      </c>
    </row>
    <row r="96" spans="1:12" x14ac:dyDescent="0.45">
      <c r="A96" t="str">
        <f>_xlfn.XLOOKUP(C96,consol_Map!B:B,consol_Map!C:C,"",0)</f>
        <v>Trade and other payables</v>
      </c>
      <c r="C96" t="s">
        <v>1393</v>
      </c>
      <c r="F96" s="16">
        <f>IFERROR(INDEX('Name Redacted (TB)'!$F:$F,MATCH(B96,'Name Redacted (TB)'!$B:$B,0)),VALUE("0"))</f>
        <v>0</v>
      </c>
      <c r="H96" s="16">
        <f>IFERROR(SUMIFS('BnC (TB-Dec21)'!J:J,'BnC (TB-Dec21)'!I:I,C96),VALUE("0"))</f>
        <v>-1074783.6600000001</v>
      </c>
      <c r="J96" s="21">
        <f t="shared" si="6"/>
        <v>-1074783.6600000001</v>
      </c>
      <c r="K96" s="83">
        <f>SUMIFS('Consol Entries'!D:D,'Consol Entries'!C:C,C96)</f>
        <v>3294.66</v>
      </c>
      <c r="L96" s="21">
        <f t="shared" si="7"/>
        <v>-1071489.0000000002</v>
      </c>
    </row>
    <row r="97" spans="1:12" x14ac:dyDescent="0.45">
      <c r="A97" t="str">
        <f>_xlfn.XLOOKUP(C97,consol_Map!B:B,consol_Map!C:C,"",0)</f>
        <v>Trade and other payables</v>
      </c>
      <c r="B97">
        <v>21200050</v>
      </c>
      <c r="C97" t="s">
        <v>1146</v>
      </c>
      <c r="F97" s="16">
        <f>IFERROR(INDEX('Name Redacted (TB)'!$F:$F,MATCH(B97,'Name Redacted (TB)'!$B:$B,0)),VALUE("0"))</f>
        <v>-2695702.44</v>
      </c>
      <c r="H97" s="16">
        <f>IFERROR(SUMIFS('BnC (TB-Dec21)'!J:J,'BnC (TB-Dec21)'!I:I,C97),VALUE("0"))</f>
        <v>0</v>
      </c>
      <c r="J97" s="21">
        <f t="shared" si="6"/>
        <v>-2695702.44</v>
      </c>
      <c r="K97" s="83">
        <f>SUMIFS('Consol Entries'!D:D,'Consol Entries'!C:C,C97)</f>
        <v>0</v>
      </c>
      <c r="L97" s="21">
        <f t="shared" si="7"/>
        <v>-2695702.44</v>
      </c>
    </row>
    <row r="98" spans="1:12" x14ac:dyDescent="0.45">
      <c r="A98" t="str">
        <f>_xlfn.XLOOKUP(C98,consol_Map!B:B,consol_Map!C:C,"",0)</f>
        <v>Trade and other payables</v>
      </c>
      <c r="C98" t="s">
        <v>1394</v>
      </c>
      <c r="F98" s="16">
        <f>IFERROR(INDEX('Name Redacted (TB)'!$F:$F,MATCH(B98,'Name Redacted (TB)'!$B:$B,0)),VALUE("0"))</f>
        <v>0</v>
      </c>
      <c r="H98" s="16">
        <f>IFERROR(SUMIFS('BnC (TB-Dec21)'!J:J,'BnC (TB-Dec21)'!I:I,C98),VALUE("0"))</f>
        <v>58900</v>
      </c>
      <c r="J98" s="21">
        <f t="shared" si="6"/>
        <v>58900</v>
      </c>
      <c r="K98" s="83">
        <f>SUMIFS('Consol Entries'!D:D,'Consol Entries'!C:C,C98)</f>
        <v>0</v>
      </c>
      <c r="L98" s="21">
        <f t="shared" si="7"/>
        <v>58900</v>
      </c>
    </row>
    <row r="99" spans="1:12" x14ac:dyDescent="0.45">
      <c r="A99" t="str">
        <f>_xlfn.XLOOKUP(C99,consol_Map!B:B,consol_Map!C:C,"",0)</f>
        <v>Trade and other payables</v>
      </c>
      <c r="C99" t="s">
        <v>1423</v>
      </c>
      <c r="F99" s="16">
        <f>IFERROR(INDEX('Name Redacted (TB)'!$F:$F,MATCH(B99,'Name Redacted (TB)'!$B:$B,0)),VALUE("0"))</f>
        <v>0</v>
      </c>
      <c r="H99" s="16">
        <f>IFERROR(SUMIFS('BnC (TB-Dec21)'!J:J,'BnC (TB-Dec21)'!I:I,C99),VALUE("0"))</f>
        <v>-566095.29</v>
      </c>
      <c r="J99" s="21">
        <f t="shared" si="6"/>
        <v>-566095.29</v>
      </c>
      <c r="K99" s="83">
        <f>SUMIFS('Consol Entries'!D:D,'Consol Entries'!C:C,C99)</f>
        <v>0</v>
      </c>
      <c r="L99" s="21">
        <f t="shared" si="7"/>
        <v>-566095.29</v>
      </c>
    </row>
    <row r="100" spans="1:12" x14ac:dyDescent="0.45">
      <c r="A100" t="str">
        <f>_xlfn.XLOOKUP(C100,consol_Map!B:B,consol_Map!C:C,"",0)</f>
        <v>Trade and other payables</v>
      </c>
      <c r="C100" t="s">
        <v>1427</v>
      </c>
      <c r="F100" s="16">
        <f>IFERROR(INDEX('Name Redacted (TB)'!$F:$F,MATCH(B100,'Name Redacted (TB)'!$B:$B,0)),VALUE("0"))</f>
        <v>0</v>
      </c>
      <c r="H100" s="16">
        <f>IFERROR(SUMIFS('BnC (TB-Dec21)'!J:J,'BnC (TB-Dec21)'!I:I,C100),VALUE("0"))</f>
        <v>-99336.290000000037</v>
      </c>
      <c r="J100" s="21">
        <f t="shared" si="6"/>
        <v>-99336.290000000037</v>
      </c>
      <c r="K100" s="83">
        <f>SUMIFS('Consol Entries'!D:D,'Consol Entries'!C:C,C100)</f>
        <v>0</v>
      </c>
      <c r="L100" s="21">
        <f t="shared" si="7"/>
        <v>-99336.290000000037</v>
      </c>
    </row>
    <row r="101" spans="1:12" x14ac:dyDescent="0.45">
      <c r="A101" t="str">
        <f>_xlfn.XLOOKUP(C101,consol_Map!B:B,consol_Map!C:C,"",0)</f>
        <v>Trade and other payables</v>
      </c>
      <c r="C101" t="s">
        <v>1397</v>
      </c>
      <c r="F101" s="16">
        <f>IFERROR(INDEX('Name Redacted (TB)'!$F:$F,MATCH(B101,'Name Redacted (TB)'!$B:$B,0)),VALUE("0"))</f>
        <v>0</v>
      </c>
      <c r="H101" s="16">
        <f>IFERROR(SUMIFS('BnC (TB-Dec21)'!J:J,'BnC (TB-Dec21)'!I:I,C101),VALUE("0"))</f>
        <v>459679</v>
      </c>
      <c r="J101" s="21">
        <f t="shared" si="6"/>
        <v>459679</v>
      </c>
      <c r="K101" s="83">
        <f>SUMIFS('Consol Entries'!D:D,'Consol Entries'!C:C,C101)</f>
        <v>0</v>
      </c>
      <c r="L101" s="21">
        <f t="shared" si="7"/>
        <v>459679</v>
      </c>
    </row>
    <row r="102" spans="1:12" x14ac:dyDescent="0.45">
      <c r="A102" t="str">
        <f>_xlfn.XLOOKUP(C102,consol_Map!B:B,consol_Map!C:C,"",0)</f>
        <v>Trade and other payables</v>
      </c>
      <c r="B102">
        <v>21200100</v>
      </c>
      <c r="C102" t="s">
        <v>1147</v>
      </c>
      <c r="F102" s="16">
        <f>IFERROR(INDEX('Name Redacted (TB)'!$F:$F,MATCH(B102,'Name Redacted (TB)'!$B:$B,0)),VALUE("0"))</f>
        <v>317722.79000000004</v>
      </c>
      <c r="H102" s="16">
        <f>IFERROR(SUMIFS('BnC (TB-Dec21)'!J:J,'BnC (TB-Dec21)'!I:I,C102),VALUE("0"))</f>
        <v>0</v>
      </c>
      <c r="J102" s="21">
        <f t="shared" si="6"/>
        <v>317722.79000000004</v>
      </c>
      <c r="K102" s="83">
        <f>SUMIFS('Consol Entries'!D:D,'Consol Entries'!C:C,C102)</f>
        <v>0</v>
      </c>
      <c r="L102" s="21">
        <f t="shared" si="7"/>
        <v>317722.79000000004</v>
      </c>
    </row>
    <row r="103" spans="1:12" x14ac:dyDescent="0.45">
      <c r="A103" t="str">
        <f>_xlfn.XLOOKUP(C103,consol_Map!B:B,consol_Map!C:C,"",0)</f>
        <v>Trade and other payables</v>
      </c>
      <c r="C103" t="s">
        <v>1424</v>
      </c>
      <c r="F103" s="16">
        <f>IFERROR(INDEX('Name Redacted (TB)'!$F:$F,MATCH(B103,'Name Redacted (TB)'!$B:$B,0)),VALUE("0"))</f>
        <v>0</v>
      </c>
      <c r="H103" s="16">
        <f>IFERROR(SUMIFS('BnC (TB-Dec21)'!J:J,'BnC (TB-Dec21)'!I:I,C103),VALUE("0"))</f>
        <v>880956.61</v>
      </c>
      <c r="J103" s="21">
        <f t="shared" si="6"/>
        <v>880956.61</v>
      </c>
      <c r="K103" s="83">
        <f>SUMIFS('Consol Entries'!D:D,'Consol Entries'!C:C,C103)</f>
        <v>0</v>
      </c>
      <c r="L103" s="21">
        <f t="shared" si="7"/>
        <v>880956.61</v>
      </c>
    </row>
    <row r="104" spans="1:12" x14ac:dyDescent="0.45">
      <c r="A104" t="str">
        <f>_xlfn.XLOOKUP(C104,consol_Map!B:B,consol_Map!C:C,"",0)</f>
        <v>Trade and other payables</v>
      </c>
      <c r="B104">
        <v>21200150</v>
      </c>
      <c r="C104" t="s">
        <v>1148</v>
      </c>
      <c r="F104" s="16">
        <f>IFERROR(INDEX('Name Redacted (TB)'!$F:$F,MATCH(B104,'Name Redacted (TB)'!$B:$B,0)),VALUE("0"))</f>
        <v>-1750548.66</v>
      </c>
      <c r="H104" s="16">
        <f>IFERROR(SUMIFS('BnC (TB-Dec21)'!J:J,'BnC (TB-Dec21)'!I:I,C104),VALUE("0"))</f>
        <v>0</v>
      </c>
      <c r="J104" s="21">
        <f t="shared" si="6"/>
        <v>-1750548.66</v>
      </c>
      <c r="K104" s="83">
        <f>SUMIFS('Consol Entries'!D:D,'Consol Entries'!C:C,C104)</f>
        <v>0</v>
      </c>
      <c r="L104" s="21">
        <f t="shared" si="7"/>
        <v>-1750548.66</v>
      </c>
    </row>
    <row r="105" spans="1:12" x14ac:dyDescent="0.45">
      <c r="A105" t="str">
        <f>_xlfn.XLOOKUP(C105,consol_Map!B:B,consol_Map!C:C,"",0)</f>
        <v>Trade and other payables</v>
      </c>
      <c r="C105" t="s">
        <v>1428</v>
      </c>
      <c r="F105" s="16">
        <f>IFERROR(INDEX('Name Redacted (TB)'!$F:$F,MATCH(B105,'Name Redacted (TB)'!$B:$B,0)),VALUE("0"))</f>
        <v>0</v>
      </c>
      <c r="H105" s="16">
        <f>IFERROR(SUMIFS('BnC (TB-Dec21)'!J:J,'BnC (TB-Dec21)'!I:I,C105),VALUE("0"))</f>
        <v>459679</v>
      </c>
      <c r="J105" s="21">
        <f t="shared" si="6"/>
        <v>459679</v>
      </c>
      <c r="K105" s="83">
        <f>SUMIFS('Consol Entries'!D:D,'Consol Entries'!C:C,C105)</f>
        <v>0</v>
      </c>
      <c r="L105" s="21">
        <f t="shared" si="7"/>
        <v>459679</v>
      </c>
    </row>
    <row r="106" spans="1:12" x14ac:dyDescent="0.45">
      <c r="A106" t="str">
        <f>_xlfn.XLOOKUP(C106,consol_Map!B:B,consol_Map!C:C,"",0)</f>
        <v>Trade and other payables</v>
      </c>
      <c r="C106" t="s">
        <v>1429</v>
      </c>
      <c r="F106" s="16">
        <f>IFERROR(INDEX('Name Redacted (TB)'!$F:$F,MATCH(B106,'Name Redacted (TB)'!$B:$B,0)),VALUE("0"))</f>
        <v>0</v>
      </c>
      <c r="H106" s="16">
        <f>IFERROR(SUMIFS('BnC (TB-Dec21)'!J:J,'BnC (TB-Dec21)'!I:I,C106),VALUE("0"))</f>
        <v>279443.66000000003</v>
      </c>
      <c r="J106" s="21">
        <f t="shared" si="6"/>
        <v>279443.66000000003</v>
      </c>
      <c r="K106" s="83">
        <f>SUMIFS('Consol Entries'!D:D,'Consol Entries'!C:C,C106)</f>
        <v>0</v>
      </c>
      <c r="L106" s="21">
        <f t="shared" si="7"/>
        <v>279443.66000000003</v>
      </c>
    </row>
    <row r="107" spans="1:12" x14ac:dyDescent="0.45">
      <c r="A107" t="str">
        <f>_xlfn.XLOOKUP(C107,consol_Map!B:B,consol_Map!C:C,"",0)</f>
        <v>Trade and other payables</v>
      </c>
      <c r="B107">
        <v>21200170</v>
      </c>
      <c r="C107" t="s">
        <v>1149</v>
      </c>
      <c r="F107" s="16">
        <f>IFERROR(INDEX('Name Redacted (TB)'!$F:$F,MATCH(B107,'Name Redacted (TB)'!$B:$B,0)),VALUE("0"))</f>
        <v>455666.32</v>
      </c>
      <c r="H107" s="16">
        <f>IFERROR(SUMIFS('BnC (TB-Dec21)'!J:J,'BnC (TB-Dec21)'!I:I,C107),VALUE("0"))</f>
        <v>0</v>
      </c>
      <c r="J107" s="21">
        <f t="shared" si="6"/>
        <v>455666.32</v>
      </c>
      <c r="K107" s="83">
        <f>SUMIFS('Consol Entries'!D:D,'Consol Entries'!C:C,C107)</f>
        <v>0</v>
      </c>
      <c r="L107" s="21">
        <f t="shared" si="7"/>
        <v>455666.32</v>
      </c>
    </row>
    <row r="108" spans="1:12" x14ac:dyDescent="0.45">
      <c r="A108" t="str">
        <f>_xlfn.XLOOKUP(C108,consol_Map!B:B,consol_Map!C:C,"",0)</f>
        <v>Provisions</v>
      </c>
      <c r="B108">
        <v>21200180</v>
      </c>
      <c r="C108" t="s">
        <v>1150</v>
      </c>
      <c r="F108" s="16">
        <f>IFERROR(INDEX('Name Redacted (TB)'!$F:$F,MATCH(B108,'Name Redacted (TB)'!$B:$B,0)),VALUE("0"))</f>
        <v>-683705.42999999993</v>
      </c>
      <c r="H108" s="16">
        <f>IFERROR(SUMIFS('BnC (TB-Dec21)'!J:J,'BnC (TB-Dec21)'!I:I,C108),VALUE("0"))</f>
        <v>0</v>
      </c>
      <c r="J108" s="21">
        <f t="shared" si="6"/>
        <v>-683705.42999999993</v>
      </c>
      <c r="K108" s="83">
        <f>SUMIFS('Consol Entries'!D:D,'Consol Entries'!C:C,C108)</f>
        <v>0</v>
      </c>
      <c r="L108" s="21">
        <f t="shared" si="7"/>
        <v>-683705.42999999993</v>
      </c>
    </row>
    <row r="109" spans="1:12" x14ac:dyDescent="0.45">
      <c r="A109" t="str">
        <f>_xlfn.XLOOKUP(C109,consol_Map!B:B,consol_Map!C:C,"",0)</f>
        <v>Provisions</v>
      </c>
      <c r="B109">
        <v>21200190</v>
      </c>
      <c r="C109" t="s">
        <v>1151</v>
      </c>
      <c r="F109" s="16">
        <f>IFERROR(INDEX('Name Redacted (TB)'!$F:$F,MATCH(B109,'Name Redacted (TB)'!$B:$B,0)),VALUE("0"))</f>
        <v>-1884006.98</v>
      </c>
      <c r="H109" s="16">
        <f>IFERROR(SUMIFS('BnC (TB-Dec21)'!J:J,'BnC (TB-Dec21)'!I:I,C109),VALUE("0"))</f>
        <v>0</v>
      </c>
      <c r="J109" s="21">
        <f t="shared" si="6"/>
        <v>-1884006.98</v>
      </c>
      <c r="K109" s="83">
        <f>SUMIFS('Consol Entries'!D:D,'Consol Entries'!C:C,C109)</f>
        <v>0</v>
      </c>
      <c r="L109" s="21">
        <f t="shared" si="7"/>
        <v>-1884006.98</v>
      </c>
    </row>
    <row r="110" spans="1:12" x14ac:dyDescent="0.45">
      <c r="A110" t="str">
        <f>_xlfn.XLOOKUP(C110,consol_Map!B:B,consol_Map!C:C,"",0)</f>
        <v>Provisions</v>
      </c>
      <c r="B110">
        <v>21200200</v>
      </c>
      <c r="C110" t="s">
        <v>1152</v>
      </c>
      <c r="F110" s="16">
        <f>IFERROR(INDEX('Name Redacted (TB)'!$F:$F,MATCH(B110,'Name Redacted (TB)'!$B:$B,0)),VALUE("0"))</f>
        <v>-710003.31</v>
      </c>
      <c r="H110" s="16">
        <f>IFERROR(SUMIFS('BnC (TB-Dec21)'!J:J,'BnC (TB-Dec21)'!I:I,C110),VALUE("0"))</f>
        <v>0</v>
      </c>
      <c r="J110" s="21">
        <f t="shared" si="6"/>
        <v>-710003.31</v>
      </c>
      <c r="K110" s="83">
        <f>SUMIFS('Consol Entries'!D:D,'Consol Entries'!C:C,C110)</f>
        <v>0</v>
      </c>
      <c r="L110" s="21">
        <f t="shared" si="7"/>
        <v>-710003.31</v>
      </c>
    </row>
    <row r="111" spans="1:12" x14ac:dyDescent="0.45">
      <c r="A111" t="str">
        <f>_xlfn.XLOOKUP(C111,consol_Map!B:B,consol_Map!C:C,"",0)</f>
        <v>Bank borrowings</v>
      </c>
      <c r="B111">
        <v>22100010</v>
      </c>
      <c r="C111" t="s">
        <v>1153</v>
      </c>
      <c r="F111" s="16">
        <f>IFERROR(INDEX('Name Redacted (TB)'!$F:$F,MATCH(B111,'Name Redacted (TB)'!$B:$B,0)),VALUE("0"))</f>
        <v>-5315321</v>
      </c>
      <c r="H111" s="16">
        <f>IFERROR(SUMIFS('BnC (TB-Dec21)'!J:J,'BnC (TB-Dec21)'!I:I,C111),VALUE("0"))</f>
        <v>0</v>
      </c>
      <c r="J111" s="21">
        <f t="shared" si="6"/>
        <v>-5315321</v>
      </c>
      <c r="K111" s="83">
        <f>SUMIFS('Consol Entries'!D:D,'Consol Entries'!C:C,C111)</f>
        <v>0</v>
      </c>
      <c r="L111" s="21">
        <f t="shared" si="7"/>
        <v>-5315321</v>
      </c>
    </row>
    <row r="112" spans="1:12" x14ac:dyDescent="0.45">
      <c r="A112" t="str">
        <f>_xlfn.XLOOKUP(C112,consol_Map!B:B,consol_Map!C:C,"",0)</f>
        <v>Bank borrowings</v>
      </c>
      <c r="B112">
        <v>22100020</v>
      </c>
      <c r="C112" t="s">
        <v>1154</v>
      </c>
      <c r="F112" s="16">
        <f>IFERROR(INDEX('Name Redacted (TB)'!$F:$F,MATCH(B112,'Name Redacted (TB)'!$B:$B,0)),VALUE("0"))</f>
        <v>-1959679</v>
      </c>
      <c r="H112" s="16">
        <f>IFERROR(SUMIFS('BnC (TB-Dec21)'!J:J,'BnC (TB-Dec21)'!I:I,C112),VALUE("0"))</f>
        <v>0</v>
      </c>
      <c r="J112" s="21">
        <f t="shared" si="6"/>
        <v>-1959679</v>
      </c>
      <c r="K112" s="83">
        <f>SUMIFS('Consol Entries'!D:D,'Consol Entries'!C:C,C112)</f>
        <v>0</v>
      </c>
      <c r="L112" s="21">
        <f t="shared" si="7"/>
        <v>-1959679</v>
      </c>
    </row>
    <row r="113" spans="1:12" x14ac:dyDescent="0.45">
      <c r="A113" t="str">
        <f>_xlfn.XLOOKUP(C113,consol_Map!B:B,consol_Map!C:C,"",0)</f>
        <v>Bank borrowings</v>
      </c>
      <c r="B113">
        <v>22100040</v>
      </c>
      <c r="C113" t="s">
        <v>1155</v>
      </c>
      <c r="F113" s="16">
        <f>IFERROR(INDEX('Name Redacted (TB)'!$F:$F,MATCH(B113,'Name Redacted (TB)'!$B:$B,0)),VALUE("0"))</f>
        <v>-3331089.7</v>
      </c>
      <c r="H113" s="16">
        <f>IFERROR(SUMIFS('BnC (TB-Dec21)'!J:J,'BnC (TB-Dec21)'!I:I,C113),VALUE("0"))</f>
        <v>0</v>
      </c>
      <c r="J113" s="21">
        <f t="shared" si="6"/>
        <v>-3331089.7</v>
      </c>
      <c r="K113" s="83">
        <f>SUMIFS('Consol Entries'!D:D,'Consol Entries'!C:C,C113)</f>
        <v>0</v>
      </c>
      <c r="L113" s="21">
        <f t="shared" si="7"/>
        <v>-3331089.7</v>
      </c>
    </row>
    <row r="114" spans="1:12" x14ac:dyDescent="0.45">
      <c r="A114" t="str">
        <f>_xlfn.XLOOKUP(C114,consol_Map!B:B,consol_Map!C:C,"",0)</f>
        <v>Bank borrowings</v>
      </c>
      <c r="C114" t="s">
        <v>1426</v>
      </c>
      <c r="F114" s="16">
        <f>IFERROR(INDEX('Name Redacted (TB)'!$F:$F,MATCH(B114,'Name Redacted (TB)'!$B:$B,0)),VALUE("0"))</f>
        <v>0</v>
      </c>
      <c r="H114" s="16">
        <f>IFERROR(SUMIFS('BnC (TB-Dec21)'!J:J,'BnC (TB-Dec21)'!I:I,C114),VALUE("0"))</f>
        <v>-2963925.58</v>
      </c>
      <c r="J114" s="21">
        <f t="shared" si="6"/>
        <v>-2963925.58</v>
      </c>
      <c r="K114" s="83">
        <f>SUMIFS('Consol Entries'!D:D,'Consol Entries'!C:C,C114)</f>
        <v>0</v>
      </c>
      <c r="L114" s="21">
        <f t="shared" si="7"/>
        <v>-2963925.58</v>
      </c>
    </row>
    <row r="115" spans="1:12" x14ac:dyDescent="0.45">
      <c r="A115" t="str">
        <f>_xlfn.XLOOKUP(C115,consol_Map!B:B,consol_Map!C:C,"",0)</f>
        <v>Lease liabilities</v>
      </c>
      <c r="C115" t="s">
        <v>1425</v>
      </c>
      <c r="F115" s="16">
        <f>IFERROR(INDEX('Name Redacted (TB)'!$F:$F,MATCH(B115,'Name Redacted (TB)'!$B:$B,0)),VALUE("0"))</f>
        <v>0</v>
      </c>
      <c r="H115" s="16">
        <f>IFERROR(SUMIFS('BnC (TB-Dec21)'!J:J,'BnC (TB-Dec21)'!I:I,C115),VALUE("0"))</f>
        <v>-3298986.2800000003</v>
      </c>
      <c r="J115" s="21">
        <f t="shared" si="6"/>
        <v>-3298986.2800000003</v>
      </c>
      <c r="K115" s="83">
        <f>SUMIFS('Consol Entries'!D:D,'Consol Entries'!C:C,C115)</f>
        <v>0</v>
      </c>
      <c r="L115" s="21">
        <f t="shared" si="7"/>
        <v>-3298986.2800000003</v>
      </c>
    </row>
    <row r="116" spans="1:12" x14ac:dyDescent="0.45">
      <c r="A116" t="str">
        <f>_xlfn.XLOOKUP(C116,consol_Map!B:B,consol_Map!C:C,"",0)</f>
        <v>Income tax payables</v>
      </c>
      <c r="C116" t="s">
        <v>1395</v>
      </c>
      <c r="F116" s="16">
        <f>IFERROR(INDEX('Name Redacted (TB)'!$F:$F,MATCH(B116,'Name Redacted (TB)'!$B:$B,0)),VALUE("0"))</f>
        <v>0</v>
      </c>
      <c r="H116" s="16">
        <f>IFERROR(SUMIFS('BnC (TB-Dec21)'!J:J,'BnC (TB-Dec21)'!I:I,C116),VALUE("0"))</f>
        <v>-809792.34000000008</v>
      </c>
      <c r="J116" s="21">
        <f t="shared" si="6"/>
        <v>-809792.34000000008</v>
      </c>
      <c r="K116" s="83">
        <f>SUMIFS('Consol Entries'!D:D,'Consol Entries'!C:C,C116)</f>
        <v>0</v>
      </c>
      <c r="L116" s="21">
        <f t="shared" si="7"/>
        <v>-809792.34000000008</v>
      </c>
    </row>
    <row r="117" spans="1:12" x14ac:dyDescent="0.45">
      <c r="A117" t="str">
        <f>_xlfn.XLOOKUP(C117,consol_Map!B:B,consol_Map!C:C,"",0)</f>
        <v>Income tax payables</v>
      </c>
      <c r="C117" t="s">
        <v>1396</v>
      </c>
      <c r="F117" s="16">
        <f>IFERROR(INDEX('Name Redacted (TB)'!$F:$F,MATCH(B117,'Name Redacted (TB)'!$B:$B,0)),VALUE("0"))</f>
        <v>0</v>
      </c>
      <c r="H117" s="16">
        <f>IFERROR(SUMIFS('BnC (TB-Dec21)'!J:J,'BnC (TB-Dec21)'!I:I,C117),VALUE("0"))</f>
        <v>251215</v>
      </c>
      <c r="J117" s="21">
        <f t="shared" si="6"/>
        <v>251215</v>
      </c>
      <c r="K117" s="83">
        <f>SUMIFS('Consol Entries'!D:D,'Consol Entries'!C:C,C117)</f>
        <v>0</v>
      </c>
      <c r="L117" s="21">
        <f t="shared" si="7"/>
        <v>251215</v>
      </c>
    </row>
    <row r="118" spans="1:12" x14ac:dyDescent="0.45">
      <c r="A118" t="str">
        <f>_xlfn.XLOOKUP(C118,consol_Map!B:B,consol_Map!C:C,"",0)</f>
        <v>Shareholder Loans</v>
      </c>
      <c r="B118">
        <v>22100100</v>
      </c>
      <c r="C118" t="s">
        <v>1156</v>
      </c>
      <c r="F118" s="16">
        <f>IFERROR(INDEX('Name Redacted (TB)'!$F:$F,MATCH(B118,'Name Redacted (TB)'!$B:$B,0)),VALUE("0"))</f>
        <v>-459679</v>
      </c>
      <c r="H118" s="16">
        <f>IFERROR(SUMIFS('BnC (TB-Dec21)'!J:J,'BnC (TB-Dec21)'!I:I,C118),VALUE("0"))</f>
        <v>0</v>
      </c>
      <c r="J118" s="21">
        <f t="shared" si="6"/>
        <v>-459679</v>
      </c>
      <c r="K118" s="83">
        <f>SUMIFS('Consol Entries'!D:D,'Consol Entries'!C:C,C118)</f>
        <v>0</v>
      </c>
      <c r="L118" s="21">
        <f t="shared" si="7"/>
        <v>-459679</v>
      </c>
    </row>
    <row r="119" spans="1:12" x14ac:dyDescent="0.45">
      <c r="A119" t="str">
        <f>_xlfn.XLOOKUP(C119,consol_Map!B:B,consol_Map!C:C,"",0)</f>
        <v>Income tax payables</v>
      </c>
      <c r="B119">
        <v>22220010</v>
      </c>
      <c r="C119" t="s">
        <v>1157</v>
      </c>
      <c r="F119" s="16">
        <f>IFERROR(INDEX('Name Redacted (TB)'!$F:$F,MATCH(B119,'Name Redacted (TB)'!$B:$B,0)),VALUE("0"))</f>
        <v>-4735321</v>
      </c>
      <c r="H119" s="16">
        <f>IFERROR(SUMIFS('BnC (TB-Dec21)'!J:J,'BnC (TB-Dec21)'!I:I,C119),VALUE("0"))</f>
        <v>0</v>
      </c>
      <c r="J119" s="21">
        <f t="shared" si="6"/>
        <v>-4735321</v>
      </c>
      <c r="K119" s="83">
        <f>SUMIFS('Consol Entries'!D:D,'Consol Entries'!C:C,C119)</f>
        <v>0</v>
      </c>
      <c r="L119" s="21">
        <f t="shared" si="7"/>
        <v>-4735321</v>
      </c>
    </row>
    <row r="120" spans="1:12" s="80" customFormat="1" x14ac:dyDescent="0.45">
      <c r="A120" t="str">
        <f>_xlfn.XLOOKUP(C120,consol_Map!B:B,consol_Map!C:C,"",0)</f>
        <v>Non-controlling interests</v>
      </c>
      <c r="C120" s="80" t="s">
        <v>1532</v>
      </c>
      <c r="F120" s="81">
        <f>IFERROR(INDEX('Name Redacted (TB)'!$F:$F,MATCH(B120,'Name Redacted (TB)'!$B:$B,0)),VALUE("0"))</f>
        <v>0</v>
      </c>
      <c r="H120" s="81">
        <f>IFERROR(SUMIFS('BnC (TB-Dec21)'!J:J,'BnC (TB-Dec21)'!I:I,C120),VALUE("0"))</f>
        <v>0</v>
      </c>
      <c r="J120" s="82">
        <f t="shared" si="6"/>
        <v>0</v>
      </c>
      <c r="K120" s="84">
        <f>SUMIFS('Consol Entries'!D:D,'Consol Entries'!C:C,C120)</f>
        <v>-802994.70299999998</v>
      </c>
      <c r="L120" s="82">
        <f t="shared" si="7"/>
        <v>-802994.70299999998</v>
      </c>
    </row>
    <row r="121" spans="1:12" x14ac:dyDescent="0.45">
      <c r="A121" t="str">
        <f>_xlfn.XLOOKUP(C121,consol_Map!B:B,consol_Map!C:C,"",0)</f>
        <v>Share capital</v>
      </c>
      <c r="B121">
        <v>31000010</v>
      </c>
      <c r="C121" t="s">
        <v>1158</v>
      </c>
      <c r="F121" s="16">
        <f>IFERROR(INDEX('Name Redacted (TB)'!$F:$F,MATCH(B121,'Name Redacted (TB)'!$B:$B,0)),VALUE("0"))</f>
        <v>-64463796</v>
      </c>
      <c r="H121" s="16">
        <f>IFERROR(SUMIFS('BnC (TB-Dec21)'!J:J,'BnC (TB-Dec21)'!I:I,C121),VALUE("0"))</f>
        <v>0</v>
      </c>
      <c r="J121" s="21">
        <f t="shared" si="6"/>
        <v>-64463796</v>
      </c>
      <c r="K121" s="83">
        <f>SUMIFS('Consol Entries'!D:D,'Consol Entries'!C:C,C121)</f>
        <v>0</v>
      </c>
      <c r="L121" s="21">
        <f t="shared" si="7"/>
        <v>-64463796</v>
      </c>
    </row>
    <row r="122" spans="1:12" x14ac:dyDescent="0.45">
      <c r="A122" t="str">
        <f>_xlfn.XLOOKUP(C122,consol_Map!B:B,consol_Map!C:C,"",0)</f>
        <v>Share capital</v>
      </c>
      <c r="B122">
        <v>31000020</v>
      </c>
      <c r="C122" t="s">
        <v>1558</v>
      </c>
      <c r="F122" s="16">
        <f>IFERROR(INDEX('Name Redacted (TB)'!$F:$F,MATCH(B122,'Name Redacted (TB)'!$B:$B,0)),VALUE("0"))</f>
        <v>-3300334.7</v>
      </c>
      <c r="H122" s="16">
        <f>IFERROR(SUMIFS('BnC (TB-Dec21)'!J:J,'BnC (TB-Dec21)'!I:I,C122),VALUE("0"))</f>
        <v>0</v>
      </c>
      <c r="J122" s="21">
        <f t="shared" ref="J122" si="10">F122+H122</f>
        <v>-3300334.7</v>
      </c>
      <c r="K122" s="83">
        <f>SUMIFS('Consol Entries'!D:D,'Consol Entries'!C:C,C122)</f>
        <v>0</v>
      </c>
      <c r="L122" s="21">
        <f t="shared" ref="L122" si="11">SUM(J122:K122)</f>
        <v>-3300334.7</v>
      </c>
    </row>
    <row r="123" spans="1:12" x14ac:dyDescent="0.45">
      <c r="A123" t="str">
        <f>_xlfn.XLOOKUP(C123,consol_Map!B:B,consol_Map!C:C,"",0)</f>
        <v>Retained earnings</v>
      </c>
      <c r="B123">
        <v>32000010</v>
      </c>
      <c r="C123" t="s">
        <v>1159</v>
      </c>
      <c r="F123" s="16">
        <f>IFERROR(INDEX('Name Redacted (TB)'!$F:$F,MATCH(B123,'Name Redacted (TB)'!$B:$B,0)),VALUE("0"))</f>
        <v>-398892.08</v>
      </c>
      <c r="H123" s="16">
        <f>IFERROR(SUMIFS('BnC (TB-Dec21)'!J:J,'BnC (TB-Dec21)'!I:I,C123),VALUE("0"))</f>
        <v>0</v>
      </c>
      <c r="J123" s="21">
        <f t="shared" si="6"/>
        <v>-398892.08</v>
      </c>
      <c r="K123" s="83">
        <f>SUMIFS('Consol Entries'!D:D,'Consol Entries'!C:C,C123)</f>
        <v>0</v>
      </c>
      <c r="L123" s="21">
        <f t="shared" si="7"/>
        <v>-398892.08</v>
      </c>
    </row>
    <row r="124" spans="1:12" x14ac:dyDescent="0.45">
      <c r="A124" t="str">
        <f>_xlfn.XLOOKUP(C124,consol_Map!B:B,consol_Map!C:C,"",0)</f>
        <v>Share capital</v>
      </c>
      <c r="C124" t="s">
        <v>1384</v>
      </c>
      <c r="F124" s="16">
        <f>IFERROR(INDEX('Name Redacted (TB)'!$F:$F,MATCH(B124,'Name Redacted (TB)'!$B:$B,0)),VALUE("0"))</f>
        <v>0</v>
      </c>
      <c r="H124" s="16">
        <f>IFERROR(SUMIFS('BnC (TB-Dec21)'!J:J,'BnC (TB-Dec21)'!I:I,C124),VALUE("0"))</f>
        <v>-264551.77</v>
      </c>
      <c r="J124" s="21">
        <f t="shared" si="6"/>
        <v>-264551.77</v>
      </c>
      <c r="K124" s="83">
        <f>SUMIFS('Consol Entries'!D:D,'Consol Entries'!C:C,C124)</f>
        <v>724230.77</v>
      </c>
      <c r="L124" s="21">
        <f t="shared" si="7"/>
        <v>459679</v>
      </c>
    </row>
    <row r="125" spans="1:12" x14ac:dyDescent="0.45">
      <c r="A125" t="str">
        <f>_xlfn.XLOOKUP(C125,consol_Map!B:B,consol_Map!C:C,"",0)</f>
        <v>Retained earnings</v>
      </c>
      <c r="C125" t="s">
        <v>1385</v>
      </c>
      <c r="F125" s="16">
        <f>IFERROR(INDEX('Name Redacted (TB)'!$F:$F,MATCH(B125,'Name Redacted (TB)'!$B:$B,0)),VALUE("0"))</f>
        <v>0</v>
      </c>
      <c r="H125" s="16">
        <f>IFERROR(SUMIFS('BnC (TB-Dec21)'!J:J,'BnC (TB-Dec21)'!I:I,C125),VALUE("0"))</f>
        <v>-317479.59999999998</v>
      </c>
      <c r="J125" s="21">
        <f t="shared" si="6"/>
        <v>-317479.59999999998</v>
      </c>
      <c r="K125" s="83">
        <f>SUMIFS('Consol Entries'!D:D,'Consol Entries'!C:C,C125)</f>
        <v>2891423.8899999997</v>
      </c>
      <c r="L125" s="21">
        <f t="shared" si="7"/>
        <v>2573944.2899999996</v>
      </c>
    </row>
    <row r="126" spans="1:12" x14ac:dyDescent="0.45">
      <c r="A126" t="str">
        <f>_xlfn.XLOOKUP(C126,consol_Map!B:B,consol_Map!C:C,"",0)</f>
        <v>Share capital</v>
      </c>
      <c r="C126" t="s">
        <v>1333</v>
      </c>
      <c r="F126" s="16">
        <f>IFERROR(INDEX('Name Redacted (TB)'!$F:$F,MATCH(B126,'Name Redacted (TB)'!$B:$B,0)),VALUE("0"))</f>
        <v>0</v>
      </c>
      <c r="H126" s="16">
        <f>IFERROR(SUMIFS('BnC (TB-Dec21)'!J:J,'BnC (TB-Dec21)'!I:I,C126),VALUE("0"))</f>
        <v>40321</v>
      </c>
      <c r="J126" s="21">
        <f t="shared" ref="J126" si="12">F126+H126</f>
        <v>40321</v>
      </c>
      <c r="K126" s="83">
        <f>SUMIFS('Consol Entries'!D:D,'Consol Entries'!C:C,C126)</f>
        <v>-500000</v>
      </c>
      <c r="L126" s="21">
        <f t="shared" si="7"/>
        <v>-459679</v>
      </c>
    </row>
    <row r="127" spans="1:12" s="80" customFormat="1" x14ac:dyDescent="0.45">
      <c r="A127" t="str">
        <f>_xlfn.XLOOKUP(C127,consol_Map!B:B,consol_Map!C:C,"",0)</f>
        <v>Retained earnings</v>
      </c>
      <c r="C127" s="80" t="s">
        <v>1537</v>
      </c>
      <c r="F127" s="81">
        <f>IFERROR(INDEX('Name Redacted (TB)'!$F:$F,MATCH(B127,'Name Redacted (TB)'!$B:$B,0)),VALUE("0"))</f>
        <v>0</v>
      </c>
      <c r="H127" s="81">
        <f>IFERROR(SUMIFS('BnC (TB-Dec21)'!J:J,'BnC (TB-Dec21)'!I:I,C127),VALUE("0"))</f>
        <v>0</v>
      </c>
      <c r="J127" s="82"/>
      <c r="K127" s="84">
        <f>SUMIFS('Consol Entries'!D:D,'Consol Entries'!C:C,C127)</f>
        <v>-131701.69499999998</v>
      </c>
      <c r="L127" s="82">
        <f t="shared" si="7"/>
        <v>-131701.69499999998</v>
      </c>
    </row>
    <row r="128" spans="1:12" x14ac:dyDescent="0.45">
      <c r="A128" t="str">
        <f>_xlfn.XLOOKUP(C128,consol_Map!B:B,consol_Map!C:C,"",0)</f>
        <v>Revenue</v>
      </c>
      <c r="B128">
        <v>41000010</v>
      </c>
      <c r="C128" t="s">
        <v>1160</v>
      </c>
      <c r="F128" s="16">
        <f>IFERROR(INDEX('Name Redacted (TB)'!$F:$F,MATCH(B128,'Name Redacted (TB)'!$B:$B,0)),VALUE("0"))</f>
        <v>-50990244.979999997</v>
      </c>
      <c r="H128" s="16">
        <f>IFERROR(SUMIFS('BnC (TB-Dec21)'!J:J,'BnC (TB-Dec21)'!I:I,C128),VALUE("0"))</f>
        <v>0</v>
      </c>
      <c r="J128" s="21">
        <f t="shared" si="6"/>
        <v>-50990244.979999997</v>
      </c>
      <c r="K128" s="83">
        <f>SUMIFS('Consol Entries'!D:D,'Consol Entries'!C:C,C128)</f>
        <v>257</v>
      </c>
      <c r="L128" s="21">
        <f t="shared" si="7"/>
        <v>-50989987.979999997</v>
      </c>
    </row>
    <row r="129" spans="1:12" x14ac:dyDescent="0.45">
      <c r="A129" t="str">
        <f>_xlfn.XLOOKUP(C129,consol_Map!B:B,consol_Map!C:C,"",0)</f>
        <v>Revenue</v>
      </c>
      <c r="B129">
        <v>41000030</v>
      </c>
      <c r="C129" t="s">
        <v>1161</v>
      </c>
      <c r="F129" s="16">
        <f>IFERROR(INDEX('Name Redacted (TB)'!$F:$F,MATCH(B129,'Name Redacted (TB)'!$B:$B,0)),VALUE("0"))</f>
        <v>-464690.66</v>
      </c>
      <c r="H129" s="16">
        <f>IFERROR(SUMIFS('BnC (TB-Dec21)'!J:J,'BnC (TB-Dec21)'!I:I,C129),VALUE("0"))</f>
        <v>0</v>
      </c>
      <c r="J129" s="21">
        <f t="shared" si="6"/>
        <v>-464690.66</v>
      </c>
      <c r="K129" s="83">
        <f>SUMIFS('Consol Entries'!D:D,'Consol Entries'!C:C,C129)</f>
        <v>0</v>
      </c>
      <c r="L129" s="21">
        <f t="shared" si="7"/>
        <v>-464690.66</v>
      </c>
    </row>
    <row r="130" spans="1:12" x14ac:dyDescent="0.45">
      <c r="A130" t="str">
        <f>_xlfn.XLOOKUP(C130,consol_Map!B:B,consol_Map!C:C,"",0)</f>
        <v>Revenue</v>
      </c>
      <c r="B130">
        <v>41000050</v>
      </c>
      <c r="C130" t="s">
        <v>1162</v>
      </c>
      <c r="F130" s="16">
        <f>IFERROR(INDEX('Name Redacted (TB)'!$F:$F,MATCH(B130,'Name Redacted (TB)'!$B:$B,0)),VALUE("0"))</f>
        <v>-140126.64000000001</v>
      </c>
      <c r="H130" s="16">
        <f>IFERROR(SUMIFS('BnC (TB-Dec21)'!J:J,'BnC (TB-Dec21)'!I:I,C130),VALUE("0"))</f>
        <v>0</v>
      </c>
      <c r="J130" s="21">
        <f t="shared" si="6"/>
        <v>-140126.64000000001</v>
      </c>
      <c r="K130" s="83">
        <f>SUMIFS('Consol Entries'!D:D,'Consol Entries'!C:C,C130)</f>
        <v>0</v>
      </c>
      <c r="L130" s="21">
        <f t="shared" si="7"/>
        <v>-140126.64000000001</v>
      </c>
    </row>
    <row r="131" spans="1:12" x14ac:dyDescent="0.45">
      <c r="A131" t="str">
        <f>_xlfn.XLOOKUP(C131,consol_Map!B:B,consol_Map!C:C,"",0)</f>
        <v>Revenue</v>
      </c>
      <c r="B131">
        <v>41000070</v>
      </c>
      <c r="C131" t="s">
        <v>1163</v>
      </c>
      <c r="F131" s="16">
        <f>IFERROR(INDEX('Name Redacted (TB)'!$F:$F,MATCH(B131,'Name Redacted (TB)'!$B:$B,0)),VALUE("0"))</f>
        <v>-624973.28</v>
      </c>
      <c r="H131" s="16">
        <f>IFERROR(SUMIFS('BnC (TB-Dec21)'!J:J,'BnC (TB-Dec21)'!I:I,C131),VALUE("0"))</f>
        <v>0</v>
      </c>
      <c r="J131" s="21">
        <f t="shared" si="6"/>
        <v>-624973.28</v>
      </c>
      <c r="K131" s="83">
        <f>SUMIFS('Consol Entries'!D:D,'Consol Entries'!C:C,C131)</f>
        <v>0</v>
      </c>
      <c r="L131" s="21">
        <f t="shared" si="7"/>
        <v>-624973.28</v>
      </c>
    </row>
    <row r="132" spans="1:12" x14ac:dyDescent="0.45">
      <c r="A132" t="str">
        <f>_xlfn.XLOOKUP(C132,consol_Map!B:B,consol_Map!C:C,"",0)</f>
        <v>Revenue</v>
      </c>
      <c r="B132">
        <v>41000080</v>
      </c>
      <c r="C132" t="s">
        <v>1164</v>
      </c>
      <c r="F132" s="16">
        <f>IFERROR(INDEX('Name Redacted (TB)'!$F:$F,MATCH(B132,'Name Redacted (TB)'!$B:$B,0)),VALUE("0"))</f>
        <v>-2846538.09</v>
      </c>
      <c r="H132" s="16">
        <f>IFERROR(SUMIFS('BnC (TB-Dec21)'!J:J,'BnC (TB-Dec21)'!I:I,C132),VALUE("0"))</f>
        <v>0</v>
      </c>
      <c r="J132" s="21">
        <f t="shared" si="6"/>
        <v>-2846538.09</v>
      </c>
      <c r="K132" s="83">
        <f>SUMIFS('Consol Entries'!D:D,'Consol Entries'!C:C,C132)</f>
        <v>0</v>
      </c>
      <c r="L132" s="21">
        <f t="shared" si="7"/>
        <v>-2846538.09</v>
      </c>
    </row>
    <row r="133" spans="1:12" x14ac:dyDescent="0.45">
      <c r="A133" t="str">
        <f>_xlfn.XLOOKUP(C133,consol_Map!B:B,consol_Map!C:C,"",0)</f>
        <v>Revenue</v>
      </c>
      <c r="B133">
        <v>41000090</v>
      </c>
      <c r="C133" t="s">
        <v>1165</v>
      </c>
      <c r="F133" s="16">
        <f>IFERROR(INDEX('Name Redacted (TB)'!$F:$F,MATCH(B133,'Name Redacted (TB)'!$B:$B,0)),VALUE("0"))</f>
        <v>-807142.97</v>
      </c>
      <c r="H133" s="16">
        <f>IFERROR(SUMIFS('BnC (TB-Dec21)'!J:J,'BnC (TB-Dec21)'!I:I,C133),VALUE("0"))</f>
        <v>0</v>
      </c>
      <c r="J133" s="21">
        <f t="shared" si="6"/>
        <v>-807142.97</v>
      </c>
      <c r="K133" s="83">
        <f>SUMIFS('Consol Entries'!D:D,'Consol Entries'!C:C,C133)</f>
        <v>0</v>
      </c>
      <c r="L133" s="21">
        <f t="shared" si="7"/>
        <v>-807142.97</v>
      </c>
    </row>
    <row r="134" spans="1:12" x14ac:dyDescent="0.45">
      <c r="A134" t="str">
        <f>_xlfn.XLOOKUP(C134,consol_Map!B:B,consol_Map!C:C,"",0)</f>
        <v>Revenue</v>
      </c>
      <c r="B134">
        <v>41000100</v>
      </c>
      <c r="C134" t="s">
        <v>1166</v>
      </c>
      <c r="F134" s="16">
        <f>IFERROR(INDEX('Name Redacted (TB)'!$F:$F,MATCH(B134,'Name Redacted (TB)'!$B:$B,0)),VALUE("0"))</f>
        <v>-1996562.4500000002</v>
      </c>
      <c r="H134" s="16">
        <f>IFERROR(SUMIFS('BnC (TB-Dec21)'!J:J,'BnC (TB-Dec21)'!I:I,C134),VALUE("0"))</f>
        <v>0</v>
      </c>
      <c r="J134" s="21">
        <f t="shared" si="6"/>
        <v>-1996562.4500000002</v>
      </c>
      <c r="K134" s="83">
        <f>SUMIFS('Consol Entries'!D:D,'Consol Entries'!C:C,C134)</f>
        <v>0</v>
      </c>
      <c r="L134" s="21">
        <f t="shared" si="7"/>
        <v>-1996562.4500000002</v>
      </c>
    </row>
    <row r="135" spans="1:12" x14ac:dyDescent="0.45">
      <c r="A135" t="str">
        <f>_xlfn.XLOOKUP(C135,consol_Map!B:B,consol_Map!C:C,"",0)</f>
        <v>Revenue</v>
      </c>
      <c r="B135">
        <v>41000110</v>
      </c>
      <c r="C135" t="s">
        <v>1167</v>
      </c>
      <c r="F135" s="16">
        <f>IFERROR(INDEX('Name Redacted (TB)'!$F:$F,MATCH(B135,'Name Redacted (TB)'!$B:$B,0)),VALUE("0"))</f>
        <v>-2606329.38</v>
      </c>
      <c r="H135" s="16">
        <f>IFERROR(SUMIFS('BnC (TB-Dec21)'!J:J,'BnC (TB-Dec21)'!I:I,C135),VALUE("0"))</f>
        <v>0</v>
      </c>
      <c r="J135" s="21">
        <f t="shared" si="6"/>
        <v>-2606329.38</v>
      </c>
      <c r="K135" s="83">
        <f>SUMIFS('Consol Entries'!D:D,'Consol Entries'!C:C,C135)</f>
        <v>0</v>
      </c>
      <c r="L135" s="21">
        <f t="shared" si="7"/>
        <v>-2606329.38</v>
      </c>
    </row>
    <row r="136" spans="1:12" x14ac:dyDescent="0.45">
      <c r="A136" t="str">
        <f>_xlfn.XLOOKUP(C136,consol_Map!B:B,consol_Map!C:C,"",0)</f>
        <v>Revenue</v>
      </c>
      <c r="B136">
        <v>42000010</v>
      </c>
      <c r="C136" t="s">
        <v>1168</v>
      </c>
      <c r="F136" s="16">
        <f>IFERROR(INDEX('Name Redacted (TB)'!$F:$F,MATCH(B136,'Name Redacted (TB)'!$B:$B,0)),VALUE("0"))</f>
        <v>-7462052.1500000004</v>
      </c>
      <c r="H136" s="16">
        <f>IFERROR(SUMIFS('BnC (TB-Dec21)'!J:J,'BnC (TB-Dec21)'!I:I,C136),VALUE("0"))</f>
        <v>0</v>
      </c>
      <c r="J136" s="21">
        <f t="shared" si="6"/>
        <v>-7462052.1500000004</v>
      </c>
      <c r="K136" s="83">
        <f>SUMIFS('Consol Entries'!D:D,'Consol Entries'!C:C,C136)</f>
        <v>2822.11</v>
      </c>
      <c r="L136" s="21">
        <f t="shared" si="7"/>
        <v>-7459230.04</v>
      </c>
    </row>
    <row r="137" spans="1:12" x14ac:dyDescent="0.45">
      <c r="A137" t="str">
        <f>_xlfn.XLOOKUP(C137,consol_Map!B:B,consol_Map!C:C,"",0)</f>
        <v>Revenue</v>
      </c>
      <c r="B137">
        <v>45000010</v>
      </c>
      <c r="C137" t="s">
        <v>1169</v>
      </c>
      <c r="F137" s="16">
        <f>IFERROR(INDEX('Name Redacted (TB)'!$F:$F,MATCH(B137,'Name Redacted (TB)'!$B:$B,0)),VALUE("0"))</f>
        <v>-527698.06000000006</v>
      </c>
      <c r="H137" s="16">
        <f>IFERROR(SUMIFS('BnC (TB-Dec21)'!J:J,'BnC (TB-Dec21)'!I:I,C137),VALUE("0"))</f>
        <v>0</v>
      </c>
      <c r="J137" s="21">
        <f t="shared" si="6"/>
        <v>-527698.06000000006</v>
      </c>
      <c r="K137" s="83">
        <f>SUMIFS('Consol Entries'!D:D,'Consol Entries'!C:C,C137)</f>
        <v>0</v>
      </c>
      <c r="L137" s="21">
        <f t="shared" si="7"/>
        <v>-527698.06000000006</v>
      </c>
    </row>
    <row r="138" spans="1:12" x14ac:dyDescent="0.45">
      <c r="A138" t="str">
        <f>_xlfn.XLOOKUP(C138,consol_Map!B:B,consol_Map!C:C,"",0)</f>
        <v>Revenue</v>
      </c>
      <c r="B138">
        <v>45000030</v>
      </c>
      <c r="C138" t="s">
        <v>1170</v>
      </c>
      <c r="F138" s="16">
        <f>IFERROR(INDEX('Name Redacted (TB)'!$F:$F,MATCH(B138,'Name Redacted (TB)'!$B:$B,0)),VALUE("0"))</f>
        <v>4024079.65</v>
      </c>
      <c r="H138" s="16">
        <f>IFERROR(SUMIFS('BnC (TB-Dec21)'!J:J,'BnC (TB-Dec21)'!I:I,C138),VALUE("0"))</f>
        <v>0</v>
      </c>
      <c r="J138" s="21">
        <f t="shared" si="6"/>
        <v>4024079.65</v>
      </c>
      <c r="K138" s="83">
        <f>SUMIFS('Consol Entries'!D:D,'Consol Entries'!C:C,C138)</f>
        <v>0</v>
      </c>
      <c r="L138" s="21">
        <f t="shared" si="7"/>
        <v>4024079.65</v>
      </c>
    </row>
    <row r="139" spans="1:12" x14ac:dyDescent="0.45">
      <c r="A139" t="str">
        <f>_xlfn.XLOOKUP(C139,consol_Map!B:B,consol_Map!C:C,"",0)</f>
        <v>Revenue</v>
      </c>
      <c r="C139" t="s">
        <v>1325</v>
      </c>
      <c r="F139" s="16">
        <f>IFERROR(INDEX('Name Redacted (TB)'!$F:$F,MATCH(B139,'Name Redacted (TB)'!$B:$B,0)),VALUE("0"))</f>
        <v>0</v>
      </c>
      <c r="H139" s="16">
        <f>IFERROR(SUMIFS('BnC (TB-Dec21)'!J:J,'BnC (TB-Dec21)'!I:I,C139),VALUE("0"))</f>
        <v>-20000843.350000001</v>
      </c>
      <c r="J139" s="21">
        <f t="shared" si="6"/>
        <v>-20000843.350000001</v>
      </c>
      <c r="K139" s="83">
        <f>SUMIFS('Consol Entries'!D:D,'Consol Entries'!C:C,C139)</f>
        <v>0</v>
      </c>
      <c r="L139" s="21">
        <f t="shared" si="7"/>
        <v>-20000843.350000001</v>
      </c>
    </row>
    <row r="140" spans="1:12" x14ac:dyDescent="0.45">
      <c r="A140" t="str">
        <f>_xlfn.XLOOKUP(C140,consol_Map!B:B,consol_Map!C:C,"",0)</f>
        <v>Cost of sales</v>
      </c>
      <c r="B140">
        <v>51000010</v>
      </c>
      <c r="C140" t="s">
        <v>1171</v>
      </c>
      <c r="F140" s="16">
        <f>IFERROR(INDEX('Name Redacted (TB)'!$F:$F,MATCH(B140,'Name Redacted (TB)'!$B:$B,0)),VALUE("0"))</f>
        <v>3886.7700000000186</v>
      </c>
      <c r="H140" s="16">
        <f>IFERROR(SUMIFS('BnC (TB-Dec21)'!J:J,'BnC (TB-Dec21)'!I:I,C140),VALUE("0"))</f>
        <v>0</v>
      </c>
      <c r="J140" s="21">
        <f t="shared" si="6"/>
        <v>3886.7700000000186</v>
      </c>
      <c r="K140" s="83">
        <f>SUMIFS('Consol Entries'!D:D,'Consol Entries'!C:C,C140)</f>
        <v>0</v>
      </c>
      <c r="L140" s="21">
        <f t="shared" ref="L140:L204" si="13">SUM(J140:K140)</f>
        <v>3886.7700000000186</v>
      </c>
    </row>
    <row r="141" spans="1:12" x14ac:dyDescent="0.45">
      <c r="A141" t="str">
        <f>_xlfn.XLOOKUP(C141,consol_Map!B:B,consol_Map!C:C,"",0)</f>
        <v>Cost of sales</v>
      </c>
      <c r="B141">
        <v>51000040</v>
      </c>
      <c r="C141" t="s">
        <v>1172</v>
      </c>
      <c r="F141" s="16">
        <f>IFERROR(INDEX('Name Redacted (TB)'!$F:$F,MATCH(B141,'Name Redacted (TB)'!$B:$B,0)),VALUE("0"))</f>
        <v>596950.86</v>
      </c>
      <c r="H141" s="16">
        <f>IFERROR(SUMIFS('BnC (TB-Dec21)'!J:J,'BnC (TB-Dec21)'!I:I,C141),VALUE("0"))</f>
        <v>0</v>
      </c>
      <c r="J141" s="21">
        <f t="shared" si="6"/>
        <v>596950.86</v>
      </c>
      <c r="K141" s="83">
        <f>SUMIFS('Consol Entries'!D:D,'Consol Entries'!C:C,C141)</f>
        <v>0</v>
      </c>
      <c r="L141" s="21">
        <f t="shared" si="13"/>
        <v>596950.86</v>
      </c>
    </row>
    <row r="142" spans="1:12" x14ac:dyDescent="0.45">
      <c r="A142" t="str">
        <f>_xlfn.XLOOKUP(C142,consol_Map!B:B,consol_Map!C:C,"",0)</f>
        <v>Cost of sales</v>
      </c>
      <c r="B142">
        <v>51000050</v>
      </c>
      <c r="C142" t="s">
        <v>1173</v>
      </c>
      <c r="F142" s="16">
        <f>IFERROR(INDEX('Name Redacted (TB)'!$F:$F,MATCH(B142,'Name Redacted (TB)'!$B:$B,0)),VALUE("0"))</f>
        <v>-459570.65</v>
      </c>
      <c r="H142" s="16">
        <f>IFERROR(SUMIFS('BnC (TB-Dec21)'!J:J,'BnC (TB-Dec21)'!I:I,C142),VALUE("0"))</f>
        <v>0</v>
      </c>
      <c r="J142" s="21">
        <f t="shared" si="6"/>
        <v>-459570.65</v>
      </c>
      <c r="K142" s="83">
        <f>SUMIFS('Consol Entries'!D:D,'Consol Entries'!C:C,C142)</f>
        <v>0</v>
      </c>
      <c r="L142" s="21">
        <f t="shared" si="13"/>
        <v>-459570.65</v>
      </c>
    </row>
    <row r="143" spans="1:12" x14ac:dyDescent="0.45">
      <c r="A143" t="str">
        <f>_xlfn.XLOOKUP(C143,consol_Map!B:B,consol_Map!C:C,"",0)</f>
        <v>Cost of sales</v>
      </c>
      <c r="B143">
        <v>51000060</v>
      </c>
      <c r="C143" t="s">
        <v>1174</v>
      </c>
      <c r="F143" s="16">
        <f>IFERROR(INDEX('Name Redacted (TB)'!$F:$F,MATCH(B143,'Name Redacted (TB)'!$B:$B,0)),VALUE("0"))</f>
        <v>742012</v>
      </c>
      <c r="H143" s="16">
        <f>IFERROR(SUMIFS('BnC (TB-Dec21)'!J:J,'BnC (TB-Dec21)'!I:I,C143),VALUE("0"))</f>
        <v>0</v>
      </c>
      <c r="J143" s="21">
        <f t="shared" ref="J143:J207" si="14">F143+H143</f>
        <v>742012</v>
      </c>
      <c r="K143" s="83">
        <f>SUMIFS('Consol Entries'!D:D,'Consol Entries'!C:C,C143)</f>
        <v>0</v>
      </c>
      <c r="L143" s="21">
        <f t="shared" si="13"/>
        <v>742012</v>
      </c>
    </row>
    <row r="144" spans="1:12" x14ac:dyDescent="0.45">
      <c r="A144" t="str">
        <f>_xlfn.XLOOKUP(C144,consol_Map!B:B,consol_Map!C:C,"",0)</f>
        <v>Cost of sales</v>
      </c>
      <c r="B144">
        <v>51000070</v>
      </c>
      <c r="C144" t="s">
        <v>1175</v>
      </c>
      <c r="F144" s="16">
        <f>IFERROR(INDEX('Name Redacted (TB)'!$F:$F,MATCH(B144,'Name Redacted (TB)'!$B:$B,0)),VALUE("0"))</f>
        <v>493742.82999999996</v>
      </c>
      <c r="H144" s="16">
        <f>IFERROR(SUMIFS('BnC (TB-Dec21)'!J:J,'BnC (TB-Dec21)'!I:I,C144),VALUE("0"))</f>
        <v>0</v>
      </c>
      <c r="J144" s="21">
        <f t="shared" si="14"/>
        <v>493742.82999999996</v>
      </c>
      <c r="K144" s="83">
        <f>SUMIFS('Consol Entries'!D:D,'Consol Entries'!C:C,C144)</f>
        <v>0</v>
      </c>
      <c r="L144" s="21">
        <f t="shared" si="13"/>
        <v>493742.82999999996</v>
      </c>
    </row>
    <row r="145" spans="1:12" x14ac:dyDescent="0.45">
      <c r="A145" t="str">
        <f>_xlfn.XLOOKUP(C145,consol_Map!B:B,consol_Map!C:C,"",0)</f>
        <v>Cost of sales</v>
      </c>
      <c r="B145">
        <v>51000071</v>
      </c>
      <c r="C145" t="s">
        <v>1176</v>
      </c>
      <c r="F145" s="16">
        <f>IFERROR(INDEX('Name Redacted (TB)'!$F:$F,MATCH(B145,'Name Redacted (TB)'!$B:$B,0)),VALUE("0"))</f>
        <v>469649.65</v>
      </c>
      <c r="H145" s="16">
        <f>IFERROR(SUMIFS('BnC (TB-Dec21)'!J:J,'BnC (TB-Dec21)'!I:I,C145),VALUE("0"))</f>
        <v>0</v>
      </c>
      <c r="J145" s="21">
        <f t="shared" si="14"/>
        <v>469649.65</v>
      </c>
      <c r="K145" s="83">
        <f>SUMIFS('Consol Entries'!D:D,'Consol Entries'!C:C,C145)</f>
        <v>0</v>
      </c>
      <c r="L145" s="21">
        <f t="shared" si="13"/>
        <v>469649.65</v>
      </c>
    </row>
    <row r="146" spans="1:12" x14ac:dyDescent="0.45">
      <c r="A146" t="str">
        <f>_xlfn.XLOOKUP(C146,consol_Map!B:B,consol_Map!C:C,"",0)</f>
        <v>Cost of sales</v>
      </c>
      <c r="B146">
        <v>51000072</v>
      </c>
      <c r="C146" t="s">
        <v>1177</v>
      </c>
      <c r="F146" s="16">
        <f>IFERROR(INDEX('Name Redacted (TB)'!$F:$F,MATCH(B146,'Name Redacted (TB)'!$B:$B,0)),VALUE("0"))</f>
        <v>-450028.83</v>
      </c>
      <c r="H146" s="16">
        <f>IFERROR(SUMIFS('BnC (TB-Dec21)'!J:J,'BnC (TB-Dec21)'!I:I,C146),VALUE("0"))</f>
        <v>0</v>
      </c>
      <c r="J146" s="21">
        <f t="shared" si="14"/>
        <v>-450028.83</v>
      </c>
      <c r="K146" s="83">
        <f>SUMIFS('Consol Entries'!D:D,'Consol Entries'!C:C,C146)</f>
        <v>0</v>
      </c>
      <c r="L146" s="21">
        <f t="shared" si="13"/>
        <v>-450028.83</v>
      </c>
    </row>
    <row r="147" spans="1:12" x14ac:dyDescent="0.45">
      <c r="A147" t="str">
        <f>_xlfn.XLOOKUP(C147,consol_Map!B:B,consol_Map!C:C,"",0)</f>
        <v>Cost of sales</v>
      </c>
      <c r="B147">
        <v>51000090</v>
      </c>
      <c r="C147" t="s">
        <v>1178</v>
      </c>
      <c r="F147" s="16">
        <f>IFERROR(INDEX('Name Redacted (TB)'!$F:$F,MATCH(B147,'Name Redacted (TB)'!$B:$B,0)),VALUE("0"))</f>
        <v>558300.63</v>
      </c>
      <c r="H147" s="16">
        <f>IFERROR(SUMIFS('BnC (TB-Dec21)'!J:J,'BnC (TB-Dec21)'!I:I,C147),VALUE("0"))</f>
        <v>0</v>
      </c>
      <c r="J147" s="21">
        <f t="shared" si="14"/>
        <v>558300.63</v>
      </c>
      <c r="K147" s="83">
        <f>SUMIFS('Consol Entries'!D:D,'Consol Entries'!C:C,C147)</f>
        <v>0</v>
      </c>
      <c r="L147" s="21">
        <f t="shared" si="13"/>
        <v>558300.63</v>
      </c>
    </row>
    <row r="148" spans="1:12" x14ac:dyDescent="0.45">
      <c r="A148" t="str">
        <f>_xlfn.XLOOKUP(C148,consol_Map!B:B,consol_Map!C:C,"",0)</f>
        <v>Cost of sales</v>
      </c>
      <c r="B148">
        <v>51000100</v>
      </c>
      <c r="C148" t="s">
        <v>1179</v>
      </c>
      <c r="F148" s="16">
        <f>IFERROR(INDEX('Name Redacted (TB)'!$F:$F,MATCH(B148,'Name Redacted (TB)'!$B:$B,0)),VALUE("0"))</f>
        <v>-374297.07</v>
      </c>
      <c r="H148" s="16">
        <f>IFERROR(SUMIFS('BnC (TB-Dec21)'!J:J,'BnC (TB-Dec21)'!I:I,C148),VALUE("0"))</f>
        <v>0</v>
      </c>
      <c r="J148" s="21">
        <f t="shared" si="14"/>
        <v>-374297.07</v>
      </c>
      <c r="K148" s="83">
        <f>SUMIFS('Consol Entries'!D:D,'Consol Entries'!C:C,C148)</f>
        <v>0</v>
      </c>
      <c r="L148" s="21">
        <f t="shared" si="13"/>
        <v>-374297.07</v>
      </c>
    </row>
    <row r="149" spans="1:12" x14ac:dyDescent="0.45">
      <c r="A149" t="str">
        <f>_xlfn.XLOOKUP(C149,consol_Map!B:B,consol_Map!C:C,"",0)</f>
        <v>Cost of sales</v>
      </c>
      <c r="B149">
        <v>51000110</v>
      </c>
      <c r="C149" t="s">
        <v>1180</v>
      </c>
      <c r="F149" s="16">
        <f>IFERROR(INDEX('Name Redacted (TB)'!$F:$F,MATCH(B149,'Name Redacted (TB)'!$B:$B,0)),VALUE("0"))</f>
        <v>4916165.47</v>
      </c>
      <c r="H149" s="16">
        <f>IFERROR(SUMIFS('BnC (TB-Dec21)'!J:J,'BnC (TB-Dec21)'!I:I,C149),VALUE("0"))</f>
        <v>0</v>
      </c>
      <c r="J149" s="21">
        <f t="shared" si="14"/>
        <v>4916165.47</v>
      </c>
      <c r="K149" s="83">
        <f>SUMIFS('Consol Entries'!D:D,'Consol Entries'!C:C,C149)</f>
        <v>0</v>
      </c>
      <c r="L149" s="21">
        <f t="shared" si="13"/>
        <v>4916165.47</v>
      </c>
    </row>
    <row r="150" spans="1:12" x14ac:dyDescent="0.45">
      <c r="A150" t="str">
        <f>_xlfn.XLOOKUP(C150,consol_Map!B:B,consol_Map!C:C,"",0)</f>
        <v>Cost of sales</v>
      </c>
      <c r="B150">
        <v>51000120</v>
      </c>
      <c r="C150" t="s">
        <v>1181</v>
      </c>
      <c r="F150" s="16">
        <f>IFERROR(INDEX('Name Redacted (TB)'!$F:$F,MATCH(B150,'Name Redacted (TB)'!$B:$B,0)),VALUE("0"))</f>
        <v>13247299.460000001</v>
      </c>
      <c r="H150" s="16">
        <f>IFERROR(SUMIFS('BnC (TB-Dec21)'!J:J,'BnC (TB-Dec21)'!I:I,C150),VALUE("0"))</f>
        <v>0</v>
      </c>
      <c r="J150" s="21">
        <f t="shared" si="14"/>
        <v>13247299.460000001</v>
      </c>
      <c r="K150" s="83">
        <f>SUMIFS('Consol Entries'!D:D,'Consol Entries'!C:C,C150)</f>
        <v>0</v>
      </c>
      <c r="L150" s="21">
        <f t="shared" si="13"/>
        <v>13247299.460000001</v>
      </c>
    </row>
    <row r="151" spans="1:12" x14ac:dyDescent="0.45">
      <c r="A151" t="str">
        <f>_xlfn.XLOOKUP(C151,consol_Map!B:B,consol_Map!C:C,"",0)</f>
        <v>Cost of sales</v>
      </c>
      <c r="B151">
        <v>51000121</v>
      </c>
      <c r="C151" t="s">
        <v>1181</v>
      </c>
      <c r="F151" s="16">
        <f>IFERROR(INDEX('Name Redacted (TB)'!$F:$F,MATCH(B151,'Name Redacted (TB)'!$B:$B,0)),VALUE("0"))</f>
        <v>800180.54</v>
      </c>
      <c r="H151" s="16">
        <f>IFERROR(SUMIFS('BnC (TB-Dec21)'!J:J,'BnC (TB-Dec21)'!I:I,C151),VALUE("0"))</f>
        <v>0</v>
      </c>
      <c r="J151" s="21">
        <f t="shared" si="14"/>
        <v>800180.54</v>
      </c>
      <c r="K151" s="83">
        <f>SUMIFS('Consol Entries'!D:D,'Consol Entries'!C:C,C151)</f>
        <v>0</v>
      </c>
      <c r="L151" s="21">
        <f t="shared" si="13"/>
        <v>800180.54</v>
      </c>
    </row>
    <row r="152" spans="1:12" x14ac:dyDescent="0.45">
      <c r="A152" t="str">
        <f>_xlfn.XLOOKUP(C152,consol_Map!B:B,consol_Map!C:C,"",0)</f>
        <v>Cost of sales</v>
      </c>
      <c r="B152">
        <v>51000122</v>
      </c>
      <c r="C152" t="s">
        <v>1181</v>
      </c>
      <c r="F152" s="16">
        <f>IFERROR(INDEX('Name Redacted (TB)'!$F:$F,MATCH(B152,'Name Redacted (TB)'!$B:$B,0)),VALUE("0"))</f>
        <v>365541.69999999995</v>
      </c>
      <c r="H152" s="16">
        <f>IFERROR(SUMIFS('BnC (TB-Dec21)'!J:J,'BnC (TB-Dec21)'!I:I,C152),VALUE("0"))</f>
        <v>0</v>
      </c>
      <c r="J152" s="21">
        <f t="shared" si="14"/>
        <v>365541.69999999995</v>
      </c>
      <c r="K152" s="83">
        <f>SUMIFS('Consol Entries'!D:D,'Consol Entries'!C:C,C152)</f>
        <v>0</v>
      </c>
      <c r="L152" s="21">
        <f t="shared" si="13"/>
        <v>365541.69999999995</v>
      </c>
    </row>
    <row r="153" spans="1:12" x14ac:dyDescent="0.45">
      <c r="A153" t="str">
        <f>_xlfn.XLOOKUP(C153,consol_Map!B:B,consol_Map!C:C,"",0)</f>
        <v>Cost of sales</v>
      </c>
      <c r="B153">
        <v>51000125</v>
      </c>
      <c r="C153" t="s">
        <v>1182</v>
      </c>
      <c r="F153" s="16">
        <f>IFERROR(INDEX('Name Redacted (TB)'!$F:$F,MATCH(B153,'Name Redacted (TB)'!$B:$B,0)),VALUE("0"))</f>
        <v>1540841.07</v>
      </c>
      <c r="H153" s="16">
        <f>IFERROR(SUMIFS('BnC (TB-Dec21)'!J:J,'BnC (TB-Dec21)'!I:I,C153),VALUE("0"))</f>
        <v>0</v>
      </c>
      <c r="J153" s="21">
        <f t="shared" si="14"/>
        <v>1540841.07</v>
      </c>
      <c r="K153" s="83">
        <f>SUMIFS('Consol Entries'!D:D,'Consol Entries'!C:C,C153)</f>
        <v>0</v>
      </c>
      <c r="L153" s="21">
        <f t="shared" si="13"/>
        <v>1540841.07</v>
      </c>
    </row>
    <row r="154" spans="1:12" x14ac:dyDescent="0.45">
      <c r="A154" t="str">
        <f>_xlfn.XLOOKUP(C154,consol_Map!B:B,consol_Map!C:C,"",0)</f>
        <v>Cost of sales</v>
      </c>
      <c r="B154">
        <v>51000140</v>
      </c>
      <c r="C154" t="s">
        <v>1183</v>
      </c>
      <c r="F154" s="16">
        <f>IFERROR(INDEX('Name Redacted (TB)'!$F:$F,MATCH(B154,'Name Redacted (TB)'!$B:$B,0)),VALUE("0"))</f>
        <v>-406540.27</v>
      </c>
      <c r="H154" s="16">
        <f>IFERROR(SUMIFS('BnC (TB-Dec21)'!J:J,'BnC (TB-Dec21)'!I:I,C154),VALUE("0"))</f>
        <v>0</v>
      </c>
      <c r="J154" s="21">
        <f t="shared" si="14"/>
        <v>-406540.27</v>
      </c>
      <c r="K154" s="83">
        <f>SUMIFS('Consol Entries'!D:D,'Consol Entries'!C:C,C154)</f>
        <v>0</v>
      </c>
      <c r="L154" s="21">
        <f t="shared" si="13"/>
        <v>-406540.27</v>
      </c>
    </row>
    <row r="155" spans="1:12" x14ac:dyDescent="0.45">
      <c r="A155" t="str">
        <f>_xlfn.XLOOKUP(C155,consol_Map!B:B,consol_Map!C:C,"",0)</f>
        <v>Cost of sales</v>
      </c>
      <c r="B155">
        <v>51000230</v>
      </c>
      <c r="C155" t="s">
        <v>1184</v>
      </c>
      <c r="F155" s="16">
        <f>IFERROR(INDEX('Name Redacted (TB)'!$F:$F,MATCH(B155,'Name Redacted (TB)'!$B:$B,0)),VALUE("0"))</f>
        <v>461094.08</v>
      </c>
      <c r="H155" s="16">
        <f>IFERROR(SUMIFS('BnC (TB-Dec21)'!J:J,'BnC (TB-Dec21)'!I:I,C155),VALUE("0"))</f>
        <v>0</v>
      </c>
      <c r="J155" s="21">
        <f t="shared" si="14"/>
        <v>461094.08</v>
      </c>
      <c r="K155" s="83">
        <f>SUMIFS('Consol Entries'!D:D,'Consol Entries'!C:C,C155)</f>
        <v>0</v>
      </c>
      <c r="L155" s="21">
        <f t="shared" si="13"/>
        <v>461094.08</v>
      </c>
    </row>
    <row r="156" spans="1:12" x14ac:dyDescent="0.45">
      <c r="A156" t="str">
        <f>_xlfn.XLOOKUP(C156,consol_Map!B:B,consol_Map!C:C,"",0)</f>
        <v>Cost of sales</v>
      </c>
      <c r="B156">
        <v>51000250</v>
      </c>
      <c r="C156" t="s">
        <v>1559</v>
      </c>
      <c r="F156" s="16">
        <f>IFERROR(INDEX('Name Redacted (TB)'!$F:$F,MATCH(B156,'Name Redacted (TB)'!$B:$B,0)),VALUE("0"))</f>
        <v>-459638.63</v>
      </c>
      <c r="H156" s="16">
        <f>IFERROR(SUMIFS('BnC (TB-Dec21)'!J:J,'BnC (TB-Dec21)'!I:I,C156),VALUE("0"))</f>
        <v>0</v>
      </c>
      <c r="J156" s="21">
        <f t="shared" ref="J156" si="15">F156+H156</f>
        <v>-459638.63</v>
      </c>
      <c r="K156" s="83">
        <f>SUMIFS('Consol Entries'!D:D,'Consol Entries'!C:C,C156)</f>
        <v>0</v>
      </c>
      <c r="L156" s="21">
        <f t="shared" ref="L156" si="16">SUM(J156:K156)</f>
        <v>-459638.63</v>
      </c>
    </row>
    <row r="157" spans="1:12" x14ac:dyDescent="0.45">
      <c r="A157" t="str">
        <f>_xlfn.XLOOKUP(C157,consol_Map!B:B,consol_Map!C:C,"",0)</f>
        <v>Cost of sales</v>
      </c>
      <c r="B157">
        <v>52000180</v>
      </c>
      <c r="C157" t="s">
        <v>1185</v>
      </c>
      <c r="F157" s="16">
        <f>IFERROR(INDEX('Name Redacted (TB)'!$F:$F,MATCH(B157,'Name Redacted (TB)'!$B:$B,0)),VALUE("0"))</f>
        <v>610057.55000000005</v>
      </c>
      <c r="H157" s="16">
        <f>IFERROR(SUMIFS('BnC (TB-Dec21)'!J:J,'BnC (TB-Dec21)'!I:I,C157),VALUE("0"))</f>
        <v>0</v>
      </c>
      <c r="J157" s="21">
        <f t="shared" si="14"/>
        <v>610057.55000000005</v>
      </c>
      <c r="K157" s="83">
        <f>SUMIFS('Consol Entries'!D:D,'Consol Entries'!C:C,C157)</f>
        <v>0</v>
      </c>
      <c r="L157" s="21">
        <f t="shared" si="13"/>
        <v>610057.55000000005</v>
      </c>
    </row>
    <row r="158" spans="1:12" x14ac:dyDescent="0.45">
      <c r="A158" t="str">
        <f>_xlfn.XLOOKUP(C158,consol_Map!B:B,consol_Map!C:C,"",0)</f>
        <v>Cost of sales</v>
      </c>
      <c r="B158">
        <v>54000040</v>
      </c>
      <c r="C158" t="s">
        <v>1186</v>
      </c>
      <c r="F158" s="16">
        <f>IFERROR(INDEX('Name Redacted (TB)'!$F:$F,MATCH(B158,'Name Redacted (TB)'!$B:$B,0)),VALUE("0"))</f>
        <v>-1111759.94</v>
      </c>
      <c r="H158" s="16">
        <f>IFERROR(SUMIFS('BnC (TB-Dec21)'!J:J,'BnC (TB-Dec21)'!I:I,C158),VALUE("0"))</f>
        <v>0</v>
      </c>
      <c r="J158" s="21">
        <f t="shared" si="14"/>
        <v>-1111759.94</v>
      </c>
      <c r="K158" s="83">
        <f>SUMIFS('Consol Entries'!D:D,'Consol Entries'!C:C,C158)</f>
        <v>0</v>
      </c>
      <c r="L158" s="21">
        <f t="shared" si="13"/>
        <v>-1111759.94</v>
      </c>
    </row>
    <row r="159" spans="1:12" x14ac:dyDescent="0.45">
      <c r="A159" t="str">
        <f>_xlfn.XLOOKUP(C159,consol_Map!B:B,consol_Map!C:C,"",0)</f>
        <v>Cost of sales</v>
      </c>
      <c r="B159">
        <v>55000020</v>
      </c>
      <c r="C159" t="s">
        <v>1187</v>
      </c>
      <c r="F159" s="16">
        <f>IFERROR(INDEX('Name Redacted (TB)'!$F:$F,MATCH(B159,'Name Redacted (TB)'!$B:$B,0)),VALUE("0"))</f>
        <v>459336.8</v>
      </c>
      <c r="H159" s="16">
        <f>IFERROR(SUMIFS('BnC (TB-Dec21)'!J:J,'BnC (TB-Dec21)'!I:I,C159),VALUE("0"))</f>
        <v>0</v>
      </c>
      <c r="J159" s="21">
        <f t="shared" si="14"/>
        <v>459336.8</v>
      </c>
      <c r="K159" s="83">
        <f>SUMIFS('Consol Entries'!D:D,'Consol Entries'!C:C,C159)</f>
        <v>0</v>
      </c>
      <c r="L159" s="21">
        <f t="shared" si="13"/>
        <v>459336.8</v>
      </c>
    </row>
    <row r="160" spans="1:12" x14ac:dyDescent="0.45">
      <c r="A160" t="str">
        <f>_xlfn.XLOOKUP(C160,consol_Map!B:B,consol_Map!C:C,"",0)</f>
        <v>Cost of sales</v>
      </c>
      <c r="C160" t="s">
        <v>1332</v>
      </c>
      <c r="F160" s="16">
        <f>IFERROR(INDEX('Name Redacted (TB)'!$F:$F,MATCH(B160,'Name Redacted (TB)'!$B:$B,0)),VALUE("0"))</f>
        <v>0</v>
      </c>
      <c r="H160" s="16">
        <f>IFERROR(SUMIFS('BnC (TB-Dec21)'!J:J,'BnC (TB-Dec21)'!I:I,C160),VALUE("0"))</f>
        <v>8518528.0400000066</v>
      </c>
      <c r="J160" s="21">
        <f t="shared" si="14"/>
        <v>8518528.0400000066</v>
      </c>
      <c r="K160" s="83">
        <f>SUMIFS('Consol Entries'!D:D,'Consol Entries'!C:C,C160)</f>
        <v>-3079.11</v>
      </c>
      <c r="L160" s="21">
        <f t="shared" si="13"/>
        <v>8515448.9300000072</v>
      </c>
    </row>
    <row r="161" spans="1:12" x14ac:dyDescent="0.45">
      <c r="A161" t="str">
        <f>_xlfn.XLOOKUP(C161,consol_Map!B:B,consol_Map!C:C,"",0)</f>
        <v>Salaries and payroll expenses</v>
      </c>
      <c r="B161">
        <v>61100030</v>
      </c>
      <c r="C161" t="s">
        <v>1188</v>
      </c>
      <c r="F161" s="16">
        <f>IFERROR(INDEX('Name Redacted (TB)'!$F:$F,MATCH(B161,'Name Redacted (TB)'!$B:$B,0)),VALUE("0"))</f>
        <v>-396044.62</v>
      </c>
      <c r="H161" s="16">
        <f>IFERROR(SUMIFS('BnC (TB-Dec21)'!J:J,'BnC (TB-Dec21)'!I:I,C161),VALUE("0"))</f>
        <v>0</v>
      </c>
      <c r="J161" s="21">
        <f t="shared" si="14"/>
        <v>-396044.62</v>
      </c>
      <c r="K161" s="83">
        <f>SUMIFS('Consol Entries'!D:D,'Consol Entries'!C:C,C161)</f>
        <v>0</v>
      </c>
      <c r="L161" s="21">
        <f t="shared" si="13"/>
        <v>-396044.62</v>
      </c>
    </row>
    <row r="162" spans="1:12" x14ac:dyDescent="0.45">
      <c r="A162" t="str">
        <f>_xlfn.XLOOKUP(C162,consol_Map!B:B,consol_Map!C:C,"",0)</f>
        <v>Salaries and payroll expenses</v>
      </c>
      <c r="B162">
        <v>61100033</v>
      </c>
      <c r="C162" t="s">
        <v>1189</v>
      </c>
      <c r="F162" s="16">
        <f>IFERROR(INDEX('Name Redacted (TB)'!$F:$F,MATCH(B162,'Name Redacted (TB)'!$B:$B,0)),VALUE("0"))</f>
        <v>497144.68</v>
      </c>
      <c r="H162" s="16">
        <f>IFERROR(SUMIFS('BnC (TB-Dec21)'!J:J,'BnC (TB-Dec21)'!I:I,C162),VALUE("0"))</f>
        <v>0</v>
      </c>
      <c r="J162" s="21">
        <f t="shared" si="14"/>
        <v>497144.68</v>
      </c>
      <c r="K162" s="83">
        <f>SUMIFS('Consol Entries'!D:D,'Consol Entries'!C:C,C162)</f>
        <v>0</v>
      </c>
      <c r="L162" s="21">
        <f t="shared" si="13"/>
        <v>497144.68</v>
      </c>
    </row>
    <row r="163" spans="1:12" x14ac:dyDescent="0.45">
      <c r="A163" t="str">
        <f>_xlfn.XLOOKUP(C163,consol_Map!B:B,consol_Map!C:C,"",0)</f>
        <v>Salaries and payroll expenses</v>
      </c>
      <c r="B163">
        <v>61100040</v>
      </c>
      <c r="C163" t="s">
        <v>1190</v>
      </c>
      <c r="F163" s="16">
        <f>IFERROR(INDEX('Name Redacted (TB)'!$F:$F,MATCH(B163,'Name Redacted (TB)'!$B:$B,0)),VALUE("0"))</f>
        <v>-181657.51</v>
      </c>
      <c r="H163" s="16">
        <f>IFERROR(SUMIFS('BnC (TB-Dec21)'!J:J,'BnC (TB-Dec21)'!I:I,C163),VALUE("0"))</f>
        <v>0</v>
      </c>
      <c r="J163" s="21">
        <f t="shared" si="14"/>
        <v>-181657.51</v>
      </c>
      <c r="K163" s="83">
        <f>SUMIFS('Consol Entries'!D:D,'Consol Entries'!C:C,C163)</f>
        <v>0</v>
      </c>
      <c r="L163" s="21">
        <f t="shared" si="13"/>
        <v>-181657.51</v>
      </c>
    </row>
    <row r="164" spans="1:12" x14ac:dyDescent="0.45">
      <c r="A164" t="str">
        <f>_xlfn.XLOOKUP(C164,consol_Map!B:B,consol_Map!C:C,"",0)</f>
        <v>Salaries and payroll expenses</v>
      </c>
      <c r="B164">
        <v>61100080</v>
      </c>
      <c r="C164" t="s">
        <v>1191</v>
      </c>
      <c r="F164" s="16">
        <f>IFERROR(INDEX('Name Redacted (TB)'!$F:$F,MATCH(B164,'Name Redacted (TB)'!$B:$B,0)),VALUE("0"))</f>
        <v>1771476.27</v>
      </c>
      <c r="H164" s="16">
        <f>IFERROR(SUMIFS('BnC (TB-Dec21)'!J:J,'BnC (TB-Dec21)'!I:I,C164),VALUE("0"))</f>
        <v>0</v>
      </c>
      <c r="J164" s="21">
        <f t="shared" si="14"/>
        <v>1771476.27</v>
      </c>
      <c r="K164" s="83">
        <f>SUMIFS('Consol Entries'!D:D,'Consol Entries'!C:C,C164)</f>
        <v>0</v>
      </c>
      <c r="L164" s="21">
        <f t="shared" si="13"/>
        <v>1771476.27</v>
      </c>
    </row>
    <row r="165" spans="1:12" x14ac:dyDescent="0.45">
      <c r="A165" t="str">
        <f>_xlfn.XLOOKUP(C165,consol_Map!B:B,consol_Map!C:C,"",0)</f>
        <v>Salaries and payroll expenses</v>
      </c>
      <c r="B165">
        <v>61100090</v>
      </c>
      <c r="C165" t="s">
        <v>1192</v>
      </c>
      <c r="F165" s="16">
        <f>IFERROR(INDEX('Name Redacted (TB)'!$F:$F,MATCH(B165,'Name Redacted (TB)'!$B:$B,0)),VALUE("0"))</f>
        <v>3750975.5999999996</v>
      </c>
      <c r="H165" s="16">
        <f>IFERROR(SUMIFS('BnC (TB-Dec21)'!J:J,'BnC (TB-Dec21)'!I:I,C165),VALUE("0"))</f>
        <v>0</v>
      </c>
      <c r="J165" s="21">
        <f t="shared" si="14"/>
        <v>3750975.5999999996</v>
      </c>
      <c r="K165" s="83">
        <f>SUMIFS('Consol Entries'!D:D,'Consol Entries'!C:C,C165)</f>
        <v>0</v>
      </c>
      <c r="L165" s="21">
        <f t="shared" si="13"/>
        <v>3750975.5999999996</v>
      </c>
    </row>
    <row r="166" spans="1:12" x14ac:dyDescent="0.45">
      <c r="A166" t="str">
        <f>_xlfn.XLOOKUP(C166,consol_Map!B:B,consol_Map!C:C,"",0)</f>
        <v>Salaries and payroll expenses</v>
      </c>
      <c r="B166">
        <v>61100100</v>
      </c>
      <c r="C166" t="s">
        <v>1193</v>
      </c>
      <c r="F166" s="16">
        <f>IFERROR(INDEX('Name Redacted (TB)'!$F:$F,MATCH(B166,'Name Redacted (TB)'!$B:$B,0)),VALUE("0"))</f>
        <v>4328315.21</v>
      </c>
      <c r="H166" s="16">
        <f>IFERROR(SUMIFS('BnC (TB-Dec21)'!J:J,'BnC (TB-Dec21)'!I:I,C166),VALUE("0"))</f>
        <v>0</v>
      </c>
      <c r="J166" s="21">
        <f t="shared" si="14"/>
        <v>4328315.21</v>
      </c>
      <c r="K166" s="83">
        <f>SUMIFS('Consol Entries'!D:D,'Consol Entries'!C:C,C166)</f>
        <v>0</v>
      </c>
      <c r="L166" s="21">
        <f t="shared" si="13"/>
        <v>4328315.21</v>
      </c>
    </row>
    <row r="167" spans="1:12" x14ac:dyDescent="0.45">
      <c r="A167" t="str">
        <f>_xlfn.XLOOKUP(C167,consol_Map!B:B,consol_Map!C:C,"",0)</f>
        <v>Salaries and payroll expenses</v>
      </c>
      <c r="B167">
        <v>61100120</v>
      </c>
      <c r="C167" t="s">
        <v>1194</v>
      </c>
      <c r="F167" s="16">
        <f>IFERROR(INDEX('Name Redacted (TB)'!$F:$F,MATCH(B167,'Name Redacted (TB)'!$B:$B,0)),VALUE("0"))</f>
        <v>814245.22</v>
      </c>
      <c r="H167" s="16">
        <f>IFERROR(SUMIFS('BnC (TB-Dec21)'!J:J,'BnC (TB-Dec21)'!I:I,C167),VALUE("0"))</f>
        <v>0</v>
      </c>
      <c r="J167" s="21">
        <f t="shared" si="14"/>
        <v>814245.22</v>
      </c>
      <c r="K167" s="83">
        <f>SUMIFS('Consol Entries'!D:D,'Consol Entries'!C:C,C167)</f>
        <v>0</v>
      </c>
      <c r="L167" s="21">
        <f t="shared" si="13"/>
        <v>814245.22</v>
      </c>
    </row>
    <row r="168" spans="1:12" x14ac:dyDescent="0.45">
      <c r="A168" t="str">
        <f>_xlfn.XLOOKUP(C168,consol_Map!B:B,consol_Map!C:C,"",0)</f>
        <v>Salaries and payroll expenses</v>
      </c>
      <c r="B168">
        <v>61100130</v>
      </c>
      <c r="C168" t="s">
        <v>1195</v>
      </c>
      <c r="F168" s="16">
        <f>IFERROR(INDEX('Name Redacted (TB)'!$F:$F,MATCH(B168,'Name Redacted (TB)'!$B:$B,0)),VALUE("0"))</f>
        <v>6388425.4699999997</v>
      </c>
      <c r="H168" s="16">
        <f>IFERROR(SUMIFS('BnC (TB-Dec21)'!J:J,'BnC (TB-Dec21)'!I:I,C168),VALUE("0"))</f>
        <v>0</v>
      </c>
      <c r="J168" s="21">
        <f t="shared" si="14"/>
        <v>6388425.4699999997</v>
      </c>
      <c r="K168" s="83">
        <f>SUMIFS('Consol Entries'!D:D,'Consol Entries'!C:C,C168)</f>
        <v>0</v>
      </c>
      <c r="L168" s="21">
        <f t="shared" si="13"/>
        <v>6388425.4699999997</v>
      </c>
    </row>
    <row r="169" spans="1:12" x14ac:dyDescent="0.45">
      <c r="A169" t="str">
        <f>_xlfn.XLOOKUP(C169,consol_Map!B:B,consol_Map!C:C,"",0)</f>
        <v>Salaries and payroll expenses</v>
      </c>
      <c r="B169">
        <v>61100140</v>
      </c>
      <c r="C169" t="s">
        <v>1196</v>
      </c>
      <c r="F169" s="16">
        <f>IFERROR(INDEX('Name Redacted (TB)'!$F:$F,MATCH(B169,'Name Redacted (TB)'!$B:$B,0)),VALUE("0"))</f>
        <v>-382517.89</v>
      </c>
      <c r="H169" s="16">
        <f>IFERROR(SUMIFS('BnC (TB-Dec21)'!J:J,'BnC (TB-Dec21)'!I:I,C169),VALUE("0"))</f>
        <v>0</v>
      </c>
      <c r="J169" s="21">
        <f t="shared" si="14"/>
        <v>-382517.89</v>
      </c>
      <c r="K169" s="83">
        <f>SUMIFS('Consol Entries'!D:D,'Consol Entries'!C:C,C169)</f>
        <v>0</v>
      </c>
      <c r="L169" s="21">
        <f t="shared" si="13"/>
        <v>-382517.89</v>
      </c>
    </row>
    <row r="170" spans="1:12" x14ac:dyDescent="0.45">
      <c r="A170" t="str">
        <f>_xlfn.XLOOKUP(C170,consol_Map!B:B,consol_Map!C:C,"",0)</f>
        <v>Salaries and payroll expenses</v>
      </c>
      <c r="B170">
        <v>61100150</v>
      </c>
      <c r="C170" t="s">
        <v>1197</v>
      </c>
      <c r="F170" s="16">
        <f>IFERROR(INDEX('Name Redacted (TB)'!$F:$F,MATCH(B170,'Name Redacted (TB)'!$B:$B,0)),VALUE("0"))</f>
        <v>667807</v>
      </c>
      <c r="H170" s="16">
        <f>IFERROR(SUMIFS('BnC (TB-Dec21)'!J:J,'BnC (TB-Dec21)'!I:I,C170),VALUE("0"))</f>
        <v>0</v>
      </c>
      <c r="J170" s="21">
        <f t="shared" si="14"/>
        <v>667807</v>
      </c>
      <c r="K170" s="83">
        <f>SUMIFS('Consol Entries'!D:D,'Consol Entries'!C:C,C170)</f>
        <v>0</v>
      </c>
      <c r="L170" s="21">
        <f t="shared" si="13"/>
        <v>667807</v>
      </c>
    </row>
    <row r="171" spans="1:12" x14ac:dyDescent="0.45">
      <c r="A171" t="str">
        <f>_xlfn.XLOOKUP(C171,consol_Map!B:B,consol_Map!C:C,"",0)</f>
        <v>Salaries and payroll expenses</v>
      </c>
      <c r="B171">
        <v>61100160</v>
      </c>
      <c r="C171" t="s">
        <v>1198</v>
      </c>
      <c r="F171" s="16">
        <f>IFERROR(INDEX('Name Redacted (TB)'!$F:$F,MATCH(B171,'Name Redacted (TB)'!$B:$B,0)),VALUE("0"))</f>
        <v>-415016.41000000003</v>
      </c>
      <c r="H171" s="16">
        <f>IFERROR(SUMIFS('BnC (TB-Dec21)'!J:J,'BnC (TB-Dec21)'!I:I,C171),VALUE("0"))</f>
        <v>0</v>
      </c>
      <c r="J171" s="21">
        <f t="shared" si="14"/>
        <v>-415016.41000000003</v>
      </c>
      <c r="K171" s="83">
        <f>SUMIFS('Consol Entries'!D:D,'Consol Entries'!C:C,C171)</f>
        <v>0</v>
      </c>
      <c r="L171" s="21">
        <f t="shared" si="13"/>
        <v>-415016.41000000003</v>
      </c>
    </row>
    <row r="172" spans="1:12" x14ac:dyDescent="0.45">
      <c r="A172" t="str">
        <f>_xlfn.XLOOKUP(C172,consol_Map!B:B,consol_Map!C:C,"",0)</f>
        <v>Salaries and payroll expenses</v>
      </c>
      <c r="B172">
        <v>61100170</v>
      </c>
      <c r="C172" t="s">
        <v>1199</v>
      </c>
      <c r="F172" s="16">
        <f>IFERROR(INDEX('Name Redacted (TB)'!$F:$F,MATCH(B172,'Name Redacted (TB)'!$B:$B,0)),VALUE("0"))</f>
        <v>485210.76</v>
      </c>
      <c r="H172" s="16">
        <f>IFERROR(SUMIFS('BnC (TB-Dec21)'!J:J,'BnC (TB-Dec21)'!I:I,C172),VALUE("0"))</f>
        <v>0</v>
      </c>
      <c r="J172" s="21">
        <f t="shared" si="14"/>
        <v>485210.76</v>
      </c>
      <c r="K172" s="83">
        <f>SUMIFS('Consol Entries'!D:D,'Consol Entries'!C:C,C172)</f>
        <v>0</v>
      </c>
      <c r="L172" s="21">
        <f t="shared" si="13"/>
        <v>485210.76</v>
      </c>
    </row>
    <row r="173" spans="1:12" x14ac:dyDescent="0.45">
      <c r="A173" t="str">
        <f>_xlfn.XLOOKUP(C173,consol_Map!B:B,consol_Map!C:C,"",0)</f>
        <v>Salaries and payroll expenses</v>
      </c>
      <c r="B173">
        <v>61100200</v>
      </c>
      <c r="C173" t="s">
        <v>1200</v>
      </c>
      <c r="F173" s="16">
        <f>IFERROR(INDEX('Name Redacted (TB)'!$F:$F,MATCH(B173,'Name Redacted (TB)'!$B:$B,0)),VALUE("0"))</f>
        <v>-393070.17</v>
      </c>
      <c r="H173" s="16">
        <f>IFERROR(SUMIFS('BnC (TB-Dec21)'!J:J,'BnC (TB-Dec21)'!I:I,C173),VALUE("0"))</f>
        <v>0</v>
      </c>
      <c r="J173" s="21">
        <f t="shared" si="14"/>
        <v>-393070.17</v>
      </c>
      <c r="K173" s="83">
        <f>SUMIFS('Consol Entries'!D:D,'Consol Entries'!C:C,C173)</f>
        <v>0</v>
      </c>
      <c r="L173" s="21">
        <f t="shared" si="13"/>
        <v>-393070.17</v>
      </c>
    </row>
    <row r="174" spans="1:12" x14ac:dyDescent="0.45">
      <c r="A174" t="str">
        <f>_xlfn.XLOOKUP(C174,consol_Map!B:B,consol_Map!C:C,"",0)</f>
        <v>Salaries and payroll expenses</v>
      </c>
      <c r="B174">
        <v>61100210</v>
      </c>
      <c r="C174" t="s">
        <v>1201</v>
      </c>
      <c r="F174" s="16">
        <f>IFERROR(INDEX('Name Redacted (TB)'!$F:$F,MATCH(B174,'Name Redacted (TB)'!$B:$B,0)),VALUE("0"))</f>
        <v>492442.56</v>
      </c>
      <c r="H174" s="16">
        <f>IFERROR(SUMIFS('BnC (TB-Dec21)'!J:J,'BnC (TB-Dec21)'!I:I,C174),VALUE("0"))</f>
        <v>0</v>
      </c>
      <c r="J174" s="21">
        <f t="shared" si="14"/>
        <v>492442.56</v>
      </c>
      <c r="K174" s="83">
        <f>SUMIFS('Consol Entries'!D:D,'Consol Entries'!C:C,C174)</f>
        <v>0</v>
      </c>
      <c r="L174" s="21">
        <f t="shared" si="13"/>
        <v>492442.56</v>
      </c>
    </row>
    <row r="175" spans="1:12" x14ac:dyDescent="0.45">
      <c r="A175" t="str">
        <f>_xlfn.XLOOKUP(C175,consol_Map!B:B,consol_Map!C:C,"",0)</f>
        <v>Salaries and payroll expenses</v>
      </c>
      <c r="B175">
        <v>61100220</v>
      </c>
      <c r="C175" t="s">
        <v>1202</v>
      </c>
      <c r="F175" s="16">
        <f>IFERROR(INDEX('Name Redacted (TB)'!$F:$F,MATCH(B175,'Name Redacted (TB)'!$B:$B,0)),VALUE("0"))</f>
        <v>-432563.36</v>
      </c>
      <c r="H175" s="16">
        <f>IFERROR(SUMIFS('BnC (TB-Dec21)'!J:J,'BnC (TB-Dec21)'!I:I,C175),VALUE("0"))</f>
        <v>0</v>
      </c>
      <c r="J175" s="21">
        <f t="shared" si="14"/>
        <v>-432563.36</v>
      </c>
      <c r="K175" s="83">
        <f>SUMIFS('Consol Entries'!D:D,'Consol Entries'!C:C,C175)</f>
        <v>0</v>
      </c>
      <c r="L175" s="21">
        <f t="shared" si="13"/>
        <v>-432563.36</v>
      </c>
    </row>
    <row r="176" spans="1:12" x14ac:dyDescent="0.45">
      <c r="A176" t="str">
        <f>_xlfn.XLOOKUP(C176,consol_Map!B:B,consol_Map!C:C,"",0)</f>
        <v>Salaries and payroll expenses</v>
      </c>
      <c r="B176">
        <v>61100230</v>
      </c>
      <c r="C176" t="s">
        <v>1203</v>
      </c>
      <c r="F176" s="16">
        <f>IFERROR(INDEX('Name Redacted (TB)'!$F:$F,MATCH(B176,'Name Redacted (TB)'!$B:$B,0)),VALUE("0"))</f>
        <v>519772.9</v>
      </c>
      <c r="H176" s="16">
        <f>IFERROR(SUMIFS('BnC (TB-Dec21)'!J:J,'BnC (TB-Dec21)'!I:I,C176),VALUE("0"))</f>
        <v>0</v>
      </c>
      <c r="J176" s="21">
        <f t="shared" si="14"/>
        <v>519772.9</v>
      </c>
      <c r="K176" s="83">
        <f>SUMIFS('Consol Entries'!D:D,'Consol Entries'!C:C,C176)</f>
        <v>0</v>
      </c>
      <c r="L176" s="21">
        <f t="shared" si="13"/>
        <v>519772.9</v>
      </c>
    </row>
    <row r="177" spans="1:12" x14ac:dyDescent="0.45">
      <c r="A177" t="str">
        <f>_xlfn.XLOOKUP(C177,consol_Map!B:B,consol_Map!C:C,"",0)</f>
        <v>Salaries and payroll expenses</v>
      </c>
      <c r="B177">
        <v>61100240</v>
      </c>
      <c r="C177" t="s">
        <v>1204</v>
      </c>
      <c r="F177" s="16">
        <f>IFERROR(INDEX('Name Redacted (TB)'!$F:$F,MATCH(B177,'Name Redacted (TB)'!$B:$B,0)),VALUE("0"))</f>
        <v>-457643.38</v>
      </c>
      <c r="H177" s="16">
        <f>IFERROR(SUMIFS('BnC (TB-Dec21)'!J:J,'BnC (TB-Dec21)'!I:I,C177),VALUE("0"))</f>
        <v>0</v>
      </c>
      <c r="J177" s="21">
        <f t="shared" si="14"/>
        <v>-457643.38</v>
      </c>
      <c r="K177" s="83">
        <f>SUMIFS('Consol Entries'!D:D,'Consol Entries'!C:C,C177)</f>
        <v>0</v>
      </c>
      <c r="L177" s="21">
        <f t="shared" si="13"/>
        <v>-457643.38</v>
      </c>
    </row>
    <row r="178" spans="1:12" x14ac:dyDescent="0.45">
      <c r="A178" t="str">
        <f>_xlfn.XLOOKUP(C178,consol_Map!B:B,consol_Map!C:C,"",0)</f>
        <v>Salaries and payroll expenses</v>
      </c>
      <c r="B178">
        <v>61100260</v>
      </c>
      <c r="C178" t="s">
        <v>1205</v>
      </c>
      <c r="F178" s="16">
        <f>IFERROR(INDEX('Name Redacted (TB)'!$F:$F,MATCH(B178,'Name Redacted (TB)'!$B:$B,0)),VALUE("0"))</f>
        <v>596873.09</v>
      </c>
      <c r="H178" s="16">
        <f>IFERROR(SUMIFS('BnC (TB-Dec21)'!J:J,'BnC (TB-Dec21)'!I:I,C178),VALUE("0"))</f>
        <v>0</v>
      </c>
      <c r="J178" s="21">
        <f t="shared" si="14"/>
        <v>596873.09</v>
      </c>
      <c r="K178" s="83">
        <f>SUMIFS('Consol Entries'!D:D,'Consol Entries'!C:C,C178)</f>
        <v>0</v>
      </c>
      <c r="L178" s="21">
        <f t="shared" si="13"/>
        <v>596873.09</v>
      </c>
    </row>
    <row r="179" spans="1:12" x14ac:dyDescent="0.45">
      <c r="A179" t="str">
        <f>_xlfn.XLOOKUP(C179,consol_Map!B:B,consol_Map!C:C,"",0)</f>
        <v>Salaries and payroll expenses</v>
      </c>
      <c r="B179">
        <v>61100280</v>
      </c>
      <c r="C179" t="s">
        <v>1206</v>
      </c>
      <c r="F179" s="16">
        <f>IFERROR(INDEX('Name Redacted (TB)'!$F:$F,MATCH(B179,'Name Redacted (TB)'!$B:$B,0)),VALUE("0"))</f>
        <v>-361420.5</v>
      </c>
      <c r="H179" s="16">
        <f>IFERROR(SUMIFS('BnC (TB-Dec21)'!J:J,'BnC (TB-Dec21)'!I:I,C179),VALUE("0"))</f>
        <v>0</v>
      </c>
      <c r="J179" s="21">
        <f t="shared" si="14"/>
        <v>-361420.5</v>
      </c>
      <c r="K179" s="83">
        <f>SUMIFS('Consol Entries'!D:D,'Consol Entries'!C:C,C179)</f>
        <v>0</v>
      </c>
      <c r="L179" s="21">
        <f t="shared" si="13"/>
        <v>-361420.5</v>
      </c>
    </row>
    <row r="180" spans="1:12" x14ac:dyDescent="0.45">
      <c r="A180" t="str">
        <f>_xlfn.XLOOKUP(C180,consol_Map!B:B,consol_Map!C:C,"",0)</f>
        <v>Salaries and payroll expenses</v>
      </c>
      <c r="B180">
        <v>61100310</v>
      </c>
      <c r="C180" t="s">
        <v>1207</v>
      </c>
      <c r="F180" s="16">
        <f>IFERROR(INDEX('Name Redacted (TB)'!$F:$F,MATCH(B180,'Name Redacted (TB)'!$B:$B,0)),VALUE("0"))</f>
        <v>460668.85</v>
      </c>
      <c r="H180" s="16">
        <f>IFERROR(SUMIFS('BnC (TB-Dec21)'!J:J,'BnC (TB-Dec21)'!I:I,C180),VALUE("0"))</f>
        <v>0</v>
      </c>
      <c r="J180" s="21">
        <f t="shared" si="14"/>
        <v>460668.85</v>
      </c>
      <c r="K180" s="83">
        <f>SUMIFS('Consol Entries'!D:D,'Consol Entries'!C:C,C180)</f>
        <v>0</v>
      </c>
      <c r="L180" s="21">
        <f t="shared" si="13"/>
        <v>460668.85</v>
      </c>
    </row>
    <row r="181" spans="1:12" x14ac:dyDescent="0.45">
      <c r="A181" t="str">
        <f>_xlfn.XLOOKUP(C181,consol_Map!B:B,consol_Map!C:C,"",0)</f>
        <v>Salaries and payroll expenses</v>
      </c>
      <c r="B181">
        <v>61100313</v>
      </c>
      <c r="C181" t="s">
        <v>1208</v>
      </c>
      <c r="F181" s="16">
        <f>IFERROR(INDEX('Name Redacted (TB)'!$F:$F,MATCH(B181,'Name Redacted (TB)'!$B:$B,0)),VALUE("0"))</f>
        <v>-459503.65</v>
      </c>
      <c r="H181" s="16">
        <f>IFERROR(SUMIFS('BnC (TB-Dec21)'!J:J,'BnC (TB-Dec21)'!I:I,C181),VALUE("0"))</f>
        <v>0</v>
      </c>
      <c r="J181" s="21">
        <f t="shared" si="14"/>
        <v>-459503.65</v>
      </c>
      <c r="K181" s="83">
        <f>SUMIFS('Consol Entries'!D:D,'Consol Entries'!C:C,C181)</f>
        <v>0</v>
      </c>
      <c r="L181" s="21">
        <f t="shared" si="13"/>
        <v>-459503.65</v>
      </c>
    </row>
    <row r="182" spans="1:12" x14ac:dyDescent="0.45">
      <c r="A182" t="str">
        <f>_xlfn.XLOOKUP(C182,consol_Map!B:B,consol_Map!C:C,"",0)</f>
        <v>Salaries and payroll expenses</v>
      </c>
      <c r="B182">
        <v>61100320</v>
      </c>
      <c r="C182" t="s">
        <v>1209</v>
      </c>
      <c r="F182" s="16">
        <f>IFERROR(INDEX('Name Redacted (TB)'!$F:$F,MATCH(B182,'Name Redacted (TB)'!$B:$B,0)),VALUE("0"))</f>
        <v>463363.89</v>
      </c>
      <c r="H182" s="16">
        <f>IFERROR(SUMIFS('BnC (TB-Dec21)'!J:J,'BnC (TB-Dec21)'!I:I,C182),VALUE("0"))</f>
        <v>0</v>
      </c>
      <c r="J182" s="21">
        <f t="shared" si="14"/>
        <v>463363.89</v>
      </c>
      <c r="K182" s="83">
        <f>SUMIFS('Consol Entries'!D:D,'Consol Entries'!C:C,C182)</f>
        <v>0</v>
      </c>
      <c r="L182" s="21">
        <f t="shared" si="13"/>
        <v>463363.89</v>
      </c>
    </row>
    <row r="183" spans="1:12" x14ac:dyDescent="0.45">
      <c r="A183" t="str">
        <f>_xlfn.XLOOKUP(C183,consol_Map!B:B,consol_Map!C:C,"",0)</f>
        <v>Salaries and payroll expenses</v>
      </c>
      <c r="B183">
        <v>61100350</v>
      </c>
      <c r="C183" t="s">
        <v>1210</v>
      </c>
      <c r="F183" s="16">
        <f>IFERROR(INDEX('Name Redacted (TB)'!$F:$F,MATCH(B183,'Name Redacted (TB)'!$B:$B,0)),VALUE("0"))</f>
        <v>-459672.9</v>
      </c>
      <c r="H183" s="16">
        <f>IFERROR(SUMIFS('BnC (TB-Dec21)'!J:J,'BnC (TB-Dec21)'!I:I,C183),VALUE("0"))</f>
        <v>0</v>
      </c>
      <c r="J183" s="21">
        <f t="shared" si="14"/>
        <v>-459672.9</v>
      </c>
      <c r="K183" s="83">
        <f>SUMIFS('Consol Entries'!D:D,'Consol Entries'!C:C,C183)</f>
        <v>0</v>
      </c>
      <c r="L183" s="21">
        <f t="shared" si="13"/>
        <v>-459672.9</v>
      </c>
    </row>
    <row r="184" spans="1:12" x14ac:dyDescent="0.45">
      <c r="A184" t="str">
        <f>_xlfn.XLOOKUP(C184,consol_Map!B:B,consol_Map!C:C,"",0)</f>
        <v>Salaries and payroll expenses</v>
      </c>
      <c r="B184">
        <v>61100360</v>
      </c>
      <c r="C184" t="s">
        <v>1211</v>
      </c>
      <c r="F184" s="16">
        <f>IFERROR(INDEX('Name Redacted (TB)'!$F:$F,MATCH(B184,'Name Redacted (TB)'!$B:$B,0)),VALUE("0"))</f>
        <v>729597.2</v>
      </c>
      <c r="H184" s="16">
        <f>IFERROR(SUMIFS('BnC (TB-Dec21)'!J:J,'BnC (TB-Dec21)'!I:I,C184),VALUE("0"))</f>
        <v>0</v>
      </c>
      <c r="J184" s="21">
        <f t="shared" si="14"/>
        <v>729597.2</v>
      </c>
      <c r="K184" s="83">
        <f>SUMIFS('Consol Entries'!D:D,'Consol Entries'!C:C,C184)</f>
        <v>0</v>
      </c>
      <c r="L184" s="21">
        <f t="shared" si="13"/>
        <v>729597.2</v>
      </c>
    </row>
    <row r="185" spans="1:12" x14ac:dyDescent="0.45">
      <c r="A185" t="str">
        <f>_xlfn.XLOOKUP(C185,consol_Map!B:B,consol_Map!C:C,"",0)</f>
        <v>Salaries and payroll expenses</v>
      </c>
      <c r="B185">
        <v>61100370</v>
      </c>
      <c r="C185" t="s">
        <v>1212</v>
      </c>
      <c r="F185" s="16">
        <f>IFERROR(INDEX('Name Redacted (TB)'!$F:$F,MATCH(B185,'Name Redacted (TB)'!$B:$B,0)),VALUE("0"))</f>
        <v>-364942.52</v>
      </c>
      <c r="H185" s="16">
        <f>IFERROR(SUMIFS('BnC (TB-Dec21)'!J:J,'BnC (TB-Dec21)'!I:I,C185),VALUE("0"))</f>
        <v>0</v>
      </c>
      <c r="J185" s="21">
        <f t="shared" si="14"/>
        <v>-364942.52</v>
      </c>
      <c r="K185" s="83">
        <f>SUMIFS('Consol Entries'!D:D,'Consol Entries'!C:C,C185)</f>
        <v>0</v>
      </c>
      <c r="L185" s="21">
        <f t="shared" si="13"/>
        <v>-364942.52</v>
      </c>
    </row>
    <row r="186" spans="1:12" x14ac:dyDescent="0.45">
      <c r="A186" t="str">
        <f>_xlfn.XLOOKUP(C186,consol_Map!B:B,consol_Map!C:C,"",0)</f>
        <v>Salaries and payroll expenses</v>
      </c>
      <c r="B186">
        <v>61100380</v>
      </c>
      <c r="C186" t="s">
        <v>1213</v>
      </c>
      <c r="F186" s="16">
        <f>IFERROR(INDEX('Name Redacted (TB)'!$F:$F,MATCH(B186,'Name Redacted (TB)'!$B:$B,0)),VALUE("0"))</f>
        <v>459828.31</v>
      </c>
      <c r="H186" s="16">
        <f>IFERROR(SUMIFS('BnC (TB-Dec21)'!J:J,'BnC (TB-Dec21)'!I:I,C186),VALUE("0"))</f>
        <v>0</v>
      </c>
      <c r="J186" s="21">
        <f t="shared" si="14"/>
        <v>459828.31</v>
      </c>
      <c r="K186" s="83">
        <f>SUMIFS('Consol Entries'!D:D,'Consol Entries'!C:C,C186)</f>
        <v>0</v>
      </c>
      <c r="L186" s="21">
        <f t="shared" si="13"/>
        <v>459828.31</v>
      </c>
    </row>
    <row r="187" spans="1:12" x14ac:dyDescent="0.45">
      <c r="A187" t="str">
        <f>_xlfn.XLOOKUP(C187,consol_Map!B:B,consol_Map!C:C,"",0)</f>
        <v>Salaries and payroll expenses</v>
      </c>
      <c r="B187">
        <v>61100400</v>
      </c>
      <c r="C187" t="s">
        <v>1214</v>
      </c>
      <c r="F187" s="16">
        <f>IFERROR(INDEX('Name Redacted (TB)'!$F:$F,MATCH(B187,'Name Redacted (TB)'!$B:$B,0)),VALUE("0"))</f>
        <v>-440029.43</v>
      </c>
      <c r="H187" s="16">
        <f>IFERROR(SUMIFS('BnC (TB-Dec21)'!J:J,'BnC (TB-Dec21)'!I:I,C187),VALUE("0"))</f>
        <v>0</v>
      </c>
      <c r="J187" s="21">
        <f t="shared" si="14"/>
        <v>-440029.43</v>
      </c>
      <c r="K187" s="83">
        <f>SUMIFS('Consol Entries'!D:D,'Consol Entries'!C:C,C187)</f>
        <v>0</v>
      </c>
      <c r="L187" s="21">
        <f t="shared" si="13"/>
        <v>-440029.43</v>
      </c>
    </row>
    <row r="188" spans="1:12" x14ac:dyDescent="0.45">
      <c r="A188" t="str">
        <f>_xlfn.XLOOKUP(C188,consol_Map!B:B,consol_Map!C:C,"",0)</f>
        <v>Salaries and payroll expenses</v>
      </c>
      <c r="B188">
        <v>61100410</v>
      </c>
      <c r="C188" t="s">
        <v>1215</v>
      </c>
      <c r="F188" s="16">
        <f>IFERROR(INDEX('Name Redacted (TB)'!$F:$F,MATCH(B188,'Name Redacted (TB)'!$B:$B,0)),VALUE("0"))</f>
        <v>542127.29</v>
      </c>
      <c r="H188" s="16">
        <f>IFERROR(SUMIFS('BnC (TB-Dec21)'!J:J,'BnC (TB-Dec21)'!I:I,C188),VALUE("0"))</f>
        <v>0</v>
      </c>
      <c r="J188" s="21">
        <f t="shared" si="14"/>
        <v>542127.29</v>
      </c>
      <c r="K188" s="83">
        <f>SUMIFS('Consol Entries'!D:D,'Consol Entries'!C:C,C188)</f>
        <v>0</v>
      </c>
      <c r="L188" s="21">
        <f t="shared" si="13"/>
        <v>542127.29</v>
      </c>
    </row>
    <row r="189" spans="1:12" x14ac:dyDescent="0.45">
      <c r="A189" t="str">
        <f>_xlfn.XLOOKUP(C189,consol_Map!B:B,consol_Map!C:C,"",0)</f>
        <v>Salaries and payroll expenses</v>
      </c>
      <c r="B189">
        <v>61100420</v>
      </c>
      <c r="C189" t="s">
        <v>1216</v>
      </c>
      <c r="F189" s="16">
        <f>IFERROR(INDEX('Name Redacted (TB)'!$F:$F,MATCH(B189,'Name Redacted (TB)'!$B:$B,0)),VALUE("0"))</f>
        <v>-437642.72</v>
      </c>
      <c r="H189" s="16">
        <f>IFERROR(SUMIFS('BnC (TB-Dec21)'!J:J,'BnC (TB-Dec21)'!I:I,C189),VALUE("0"))</f>
        <v>0</v>
      </c>
      <c r="J189" s="21">
        <f t="shared" si="14"/>
        <v>-437642.72</v>
      </c>
      <c r="K189" s="83">
        <f>SUMIFS('Consol Entries'!D:D,'Consol Entries'!C:C,C189)</f>
        <v>0</v>
      </c>
      <c r="L189" s="21">
        <f t="shared" si="13"/>
        <v>-437642.72</v>
      </c>
    </row>
    <row r="190" spans="1:12" x14ac:dyDescent="0.45">
      <c r="A190" t="str">
        <f>_xlfn.XLOOKUP(C190,consol_Map!B:B,consol_Map!C:C,"",0)</f>
        <v>Salaries and payroll expenses</v>
      </c>
      <c r="B190">
        <v>61100430</v>
      </c>
      <c r="C190" t="s">
        <v>1217</v>
      </c>
      <c r="F190" s="16">
        <f>IFERROR(INDEX('Name Redacted (TB)'!$F:$F,MATCH(B190,'Name Redacted (TB)'!$B:$B,0)),VALUE("0"))</f>
        <v>1897467.77</v>
      </c>
      <c r="H190" s="16">
        <f>IFERROR(SUMIFS('BnC (TB-Dec21)'!J:J,'BnC (TB-Dec21)'!I:I,C190),VALUE("0"))</f>
        <v>0</v>
      </c>
      <c r="J190" s="21">
        <f t="shared" si="14"/>
        <v>1897467.77</v>
      </c>
      <c r="K190" s="83">
        <f>SUMIFS('Consol Entries'!D:D,'Consol Entries'!C:C,C190)</f>
        <v>0</v>
      </c>
      <c r="L190" s="21">
        <f t="shared" si="13"/>
        <v>1897467.77</v>
      </c>
    </row>
    <row r="191" spans="1:12" x14ac:dyDescent="0.45">
      <c r="A191" t="str">
        <f>_xlfn.XLOOKUP(C191,consol_Map!B:B,consol_Map!C:C,"",0)</f>
        <v>Salaries and payroll expenses</v>
      </c>
      <c r="B191">
        <v>61100440</v>
      </c>
      <c r="C191" t="s">
        <v>1218</v>
      </c>
      <c r="F191" s="16">
        <f>IFERROR(INDEX('Name Redacted (TB)'!$F:$F,MATCH(B191,'Name Redacted (TB)'!$B:$B,0)),VALUE("0"))</f>
        <v>-109273.10999999999</v>
      </c>
      <c r="H191" s="16">
        <f>IFERROR(SUMIFS('BnC (TB-Dec21)'!J:J,'BnC (TB-Dec21)'!I:I,C191),VALUE("0"))</f>
        <v>0</v>
      </c>
      <c r="J191" s="21">
        <f t="shared" si="14"/>
        <v>-109273.10999999999</v>
      </c>
      <c r="K191" s="83">
        <f>SUMIFS('Consol Entries'!D:D,'Consol Entries'!C:C,C191)</f>
        <v>0</v>
      </c>
      <c r="L191" s="21">
        <f t="shared" si="13"/>
        <v>-109273.10999999999</v>
      </c>
    </row>
    <row r="192" spans="1:12" x14ac:dyDescent="0.45">
      <c r="A192" t="str">
        <f>_xlfn.XLOOKUP(C192,consol_Map!B:B,consol_Map!C:C,"",0)</f>
        <v>Salaries and payroll expenses</v>
      </c>
      <c r="B192">
        <v>61100540</v>
      </c>
      <c r="C192" t="s">
        <v>1219</v>
      </c>
      <c r="F192" s="16">
        <f>IFERROR(INDEX('Name Redacted (TB)'!$F:$F,MATCH(B192,'Name Redacted (TB)'!$B:$B,0)),VALUE("0"))</f>
        <v>2456703.2599999998</v>
      </c>
      <c r="H192" s="16">
        <f>IFERROR(SUMIFS('BnC (TB-Dec21)'!J:J,'BnC (TB-Dec21)'!I:I,C192),VALUE("0"))</f>
        <v>0</v>
      </c>
      <c r="J192" s="21">
        <f t="shared" si="14"/>
        <v>2456703.2599999998</v>
      </c>
      <c r="K192" s="83">
        <f>SUMIFS('Consol Entries'!D:D,'Consol Entries'!C:C,C192)</f>
        <v>0</v>
      </c>
      <c r="L192" s="21">
        <f t="shared" si="13"/>
        <v>2456703.2599999998</v>
      </c>
    </row>
    <row r="193" spans="1:12" x14ac:dyDescent="0.45">
      <c r="A193" t="str">
        <f>_xlfn.XLOOKUP(C193,consol_Map!B:B,consol_Map!C:C,"",0)</f>
        <v>Salaries and payroll expenses</v>
      </c>
      <c r="B193">
        <v>61100570</v>
      </c>
      <c r="C193" t="s">
        <v>1220</v>
      </c>
      <c r="F193" s="16">
        <f>IFERROR(INDEX('Name Redacted (TB)'!$F:$F,MATCH(B193,'Name Redacted (TB)'!$B:$B,0)),VALUE("0"))</f>
        <v>-376219</v>
      </c>
      <c r="H193" s="16">
        <f>IFERROR(SUMIFS('BnC (TB-Dec21)'!J:J,'BnC (TB-Dec21)'!I:I,C193),VALUE("0"))</f>
        <v>0</v>
      </c>
      <c r="J193" s="21">
        <f t="shared" si="14"/>
        <v>-376219</v>
      </c>
      <c r="K193" s="83">
        <f>SUMIFS('Consol Entries'!D:D,'Consol Entries'!C:C,C193)</f>
        <v>0</v>
      </c>
      <c r="L193" s="21">
        <f t="shared" si="13"/>
        <v>-376219</v>
      </c>
    </row>
    <row r="194" spans="1:12" x14ac:dyDescent="0.45">
      <c r="A194" t="str">
        <f>_xlfn.XLOOKUP(C194,consol_Map!B:B,consol_Map!C:C,"",0)</f>
        <v>Salaries and payroll expenses</v>
      </c>
      <c r="B194">
        <v>61100590</v>
      </c>
      <c r="C194" t="s">
        <v>1221</v>
      </c>
      <c r="F194" s="16">
        <f>IFERROR(INDEX('Name Redacted (TB)'!$F:$F,MATCH(B194,'Name Redacted (TB)'!$B:$B,0)),VALUE("0"))</f>
        <v>503068.39</v>
      </c>
      <c r="H194" s="16">
        <f>IFERROR(SUMIFS('BnC (TB-Dec21)'!J:J,'BnC (TB-Dec21)'!I:I,C194),VALUE("0"))</f>
        <v>0</v>
      </c>
      <c r="J194" s="21">
        <f t="shared" si="14"/>
        <v>503068.39</v>
      </c>
      <c r="K194" s="83">
        <f>SUMIFS('Consol Entries'!D:D,'Consol Entries'!C:C,C194)</f>
        <v>0</v>
      </c>
      <c r="L194" s="21">
        <f t="shared" si="13"/>
        <v>503068.39</v>
      </c>
    </row>
    <row r="195" spans="1:12" x14ac:dyDescent="0.45">
      <c r="A195" t="str">
        <f>_xlfn.XLOOKUP(C195,consol_Map!B:B,consol_Map!C:C,"",0)</f>
        <v>Salaries and payroll expenses</v>
      </c>
      <c r="B195">
        <v>61100600</v>
      </c>
      <c r="C195" t="s">
        <v>1222</v>
      </c>
      <c r="F195" s="16">
        <f>IFERROR(INDEX('Name Redacted (TB)'!$F:$F,MATCH(B195,'Name Redacted (TB)'!$B:$B,0)),VALUE("0"))</f>
        <v>-252777.51</v>
      </c>
      <c r="H195" s="16">
        <f>IFERROR(SUMIFS('BnC (TB-Dec21)'!J:J,'BnC (TB-Dec21)'!I:I,C195),VALUE("0"))</f>
        <v>0</v>
      </c>
      <c r="J195" s="21">
        <f t="shared" si="14"/>
        <v>-252777.51</v>
      </c>
      <c r="K195" s="83">
        <f>SUMIFS('Consol Entries'!D:D,'Consol Entries'!C:C,C195)</f>
        <v>0</v>
      </c>
      <c r="L195" s="21">
        <f t="shared" si="13"/>
        <v>-252777.51</v>
      </c>
    </row>
    <row r="196" spans="1:12" x14ac:dyDescent="0.45">
      <c r="A196" t="str">
        <f>_xlfn.XLOOKUP(C196,consol_Map!B:B,consol_Map!C:C,"",0)</f>
        <v>Salaries and payroll expenses</v>
      </c>
      <c r="B196">
        <v>61100610</v>
      </c>
      <c r="C196" t="s">
        <v>1223</v>
      </c>
      <c r="F196" s="16">
        <f>IFERROR(INDEX('Name Redacted (TB)'!$F:$F,MATCH(B196,'Name Redacted (TB)'!$B:$B,0)),VALUE("0"))</f>
        <v>523715.99</v>
      </c>
      <c r="H196" s="16">
        <f>IFERROR(SUMIFS('BnC (TB-Dec21)'!J:J,'BnC (TB-Dec21)'!I:I,C196),VALUE("0"))</f>
        <v>0</v>
      </c>
      <c r="J196" s="21">
        <f t="shared" si="14"/>
        <v>523715.99</v>
      </c>
      <c r="K196" s="83">
        <f>SUMIFS('Consol Entries'!D:D,'Consol Entries'!C:C,C196)</f>
        <v>0</v>
      </c>
      <c r="L196" s="21">
        <f t="shared" si="13"/>
        <v>523715.99</v>
      </c>
    </row>
    <row r="197" spans="1:12" x14ac:dyDescent="0.45">
      <c r="A197" t="str">
        <f>_xlfn.XLOOKUP(C197,consol_Map!B:B,consol_Map!C:C,"",0)</f>
        <v>Salaries and payroll expenses</v>
      </c>
      <c r="B197">
        <v>61100620</v>
      </c>
      <c r="C197" t="s">
        <v>1224</v>
      </c>
      <c r="F197" s="16">
        <f>IFERROR(INDEX('Name Redacted (TB)'!$F:$F,MATCH(B197,'Name Redacted (TB)'!$B:$B,0)),VALUE("0"))</f>
        <v>-459586.6</v>
      </c>
      <c r="H197" s="16">
        <f>IFERROR(SUMIFS('BnC (TB-Dec21)'!J:J,'BnC (TB-Dec21)'!I:I,C197),VALUE("0"))</f>
        <v>0</v>
      </c>
      <c r="J197" s="21">
        <f t="shared" si="14"/>
        <v>-459586.6</v>
      </c>
      <c r="K197" s="83">
        <f>SUMIFS('Consol Entries'!D:D,'Consol Entries'!C:C,C197)</f>
        <v>0</v>
      </c>
      <c r="L197" s="21">
        <f t="shared" si="13"/>
        <v>-459586.6</v>
      </c>
    </row>
    <row r="198" spans="1:12" x14ac:dyDescent="0.45">
      <c r="A198" t="str">
        <f>_xlfn.XLOOKUP(C198,consol_Map!B:B,consol_Map!C:C,"",0)</f>
        <v>Salaries and payroll expenses</v>
      </c>
      <c r="B198">
        <v>61100621</v>
      </c>
      <c r="C198" t="s">
        <v>1225</v>
      </c>
      <c r="F198" s="16">
        <f>IFERROR(INDEX('Name Redacted (TB)'!$F:$F,MATCH(B198,'Name Redacted (TB)'!$B:$B,0)),VALUE("0"))</f>
        <v>558886.63</v>
      </c>
      <c r="H198" s="16">
        <f>IFERROR(SUMIFS('BnC (TB-Dec21)'!J:J,'BnC (TB-Dec21)'!I:I,C198),VALUE("0"))</f>
        <v>0</v>
      </c>
      <c r="J198" s="21">
        <f t="shared" si="14"/>
        <v>558886.63</v>
      </c>
      <c r="K198" s="83">
        <f>SUMIFS('Consol Entries'!D:D,'Consol Entries'!C:C,C198)</f>
        <v>0</v>
      </c>
      <c r="L198" s="21">
        <f t="shared" si="13"/>
        <v>558886.63</v>
      </c>
    </row>
    <row r="199" spans="1:12" x14ac:dyDescent="0.45">
      <c r="A199" t="str">
        <f>_xlfn.XLOOKUP(C199,consol_Map!B:B,consol_Map!C:C,"",0)</f>
        <v>Salaries and payroll expenses</v>
      </c>
      <c r="B199">
        <v>61100630</v>
      </c>
      <c r="C199" t="s">
        <v>1226</v>
      </c>
      <c r="F199" s="16">
        <f>IFERROR(INDEX('Name Redacted (TB)'!$F:$F,MATCH(B199,'Name Redacted (TB)'!$B:$B,0)),VALUE("0"))</f>
        <v>-453171.64</v>
      </c>
      <c r="H199" s="16">
        <f>IFERROR(SUMIFS('BnC (TB-Dec21)'!J:J,'BnC (TB-Dec21)'!I:I,C199),VALUE("0"))</f>
        <v>0</v>
      </c>
      <c r="J199" s="21">
        <f t="shared" si="14"/>
        <v>-453171.64</v>
      </c>
      <c r="K199" s="83">
        <f>SUMIFS('Consol Entries'!D:D,'Consol Entries'!C:C,C199)</f>
        <v>0</v>
      </c>
      <c r="L199" s="21">
        <f t="shared" si="13"/>
        <v>-453171.64</v>
      </c>
    </row>
    <row r="200" spans="1:12" x14ac:dyDescent="0.45">
      <c r="A200" t="str">
        <f>_xlfn.XLOOKUP(C200,consol_Map!B:B,consol_Map!C:C,"",0)</f>
        <v>Salaries and payroll expenses</v>
      </c>
      <c r="B200">
        <v>61100650</v>
      </c>
      <c r="C200" t="s">
        <v>1227</v>
      </c>
      <c r="F200" s="16">
        <f>IFERROR(INDEX('Name Redacted (TB)'!$F:$F,MATCH(B200,'Name Redacted (TB)'!$B:$B,0)),VALUE("0"))</f>
        <v>706646.8</v>
      </c>
      <c r="H200" s="16">
        <f>IFERROR(SUMIFS('BnC (TB-Dec21)'!J:J,'BnC (TB-Dec21)'!I:I,C200),VALUE("0"))</f>
        <v>0</v>
      </c>
      <c r="J200" s="21">
        <f t="shared" si="14"/>
        <v>706646.8</v>
      </c>
      <c r="K200" s="83">
        <f>SUMIFS('Consol Entries'!D:D,'Consol Entries'!C:C,C200)</f>
        <v>0</v>
      </c>
      <c r="L200" s="21">
        <f t="shared" si="13"/>
        <v>706646.8</v>
      </c>
    </row>
    <row r="201" spans="1:12" x14ac:dyDescent="0.45">
      <c r="A201" t="str">
        <f>_xlfn.XLOOKUP(C201,consol_Map!B:B,consol_Map!C:C,"",0)</f>
        <v>Salaries and payroll expenses</v>
      </c>
      <c r="B201">
        <v>61100660</v>
      </c>
      <c r="C201" t="s">
        <v>1228</v>
      </c>
      <c r="F201" s="16">
        <f>IFERROR(INDEX('Name Redacted (TB)'!$F:$F,MATCH(B201,'Name Redacted (TB)'!$B:$B,0)),VALUE("0"))</f>
        <v>-388811.9</v>
      </c>
      <c r="H201" s="16">
        <f>IFERROR(SUMIFS('BnC (TB-Dec21)'!J:J,'BnC (TB-Dec21)'!I:I,C201),VALUE("0"))</f>
        <v>0</v>
      </c>
      <c r="J201" s="21">
        <f t="shared" si="14"/>
        <v>-388811.9</v>
      </c>
      <c r="K201" s="83">
        <f>SUMIFS('Consol Entries'!D:D,'Consol Entries'!C:C,C201)</f>
        <v>0</v>
      </c>
      <c r="L201" s="21">
        <f t="shared" si="13"/>
        <v>-388811.9</v>
      </c>
    </row>
    <row r="202" spans="1:12" x14ac:dyDescent="0.45">
      <c r="A202" t="str">
        <f>_xlfn.XLOOKUP(C202,consol_Map!B:B,consol_Map!C:C,"",0)</f>
        <v>Salaries and payroll expenses</v>
      </c>
      <c r="B202">
        <v>61100670</v>
      </c>
      <c r="C202" t="s">
        <v>1229</v>
      </c>
      <c r="F202" s="16">
        <f>IFERROR(INDEX('Name Redacted (TB)'!$F:$F,MATCH(B202,'Name Redacted (TB)'!$B:$B,0)),VALUE("0"))</f>
        <v>1338838.76</v>
      </c>
      <c r="H202" s="16">
        <f>IFERROR(SUMIFS('BnC (TB-Dec21)'!J:J,'BnC (TB-Dec21)'!I:I,C202),VALUE("0"))</f>
        <v>0</v>
      </c>
      <c r="J202" s="21">
        <f t="shared" si="14"/>
        <v>1338838.76</v>
      </c>
      <c r="K202" s="83">
        <f>SUMIFS('Consol Entries'!D:D,'Consol Entries'!C:C,C202)</f>
        <v>0</v>
      </c>
      <c r="L202" s="21">
        <f t="shared" si="13"/>
        <v>1338838.76</v>
      </c>
    </row>
    <row r="203" spans="1:12" x14ac:dyDescent="0.45">
      <c r="A203" t="str">
        <f>_xlfn.XLOOKUP(C203,consol_Map!B:B,consol_Map!C:C,"",0)</f>
        <v>Salaries and payroll expenses</v>
      </c>
      <c r="B203">
        <v>61100710</v>
      </c>
      <c r="C203" t="s">
        <v>1230</v>
      </c>
      <c r="F203" s="16">
        <f>IFERROR(INDEX('Name Redacted (TB)'!$F:$F,MATCH(B203,'Name Redacted (TB)'!$B:$B,0)),VALUE("0"))</f>
        <v>-455479</v>
      </c>
      <c r="H203" s="16">
        <f>IFERROR(SUMIFS('BnC (TB-Dec21)'!J:J,'BnC (TB-Dec21)'!I:I,C203),VALUE("0"))</f>
        <v>0</v>
      </c>
      <c r="J203" s="21">
        <f t="shared" si="14"/>
        <v>-455479</v>
      </c>
      <c r="K203" s="83">
        <f>SUMIFS('Consol Entries'!D:D,'Consol Entries'!C:C,C203)</f>
        <v>0</v>
      </c>
      <c r="L203" s="21">
        <f t="shared" si="13"/>
        <v>-455479</v>
      </c>
    </row>
    <row r="204" spans="1:12" x14ac:dyDescent="0.45">
      <c r="A204" t="str">
        <f>_xlfn.XLOOKUP(C204,consol_Map!B:B,consol_Map!C:C,"",0)</f>
        <v>Salaries and payroll expenses</v>
      </c>
      <c r="C204" t="s">
        <v>1340</v>
      </c>
      <c r="F204" s="16">
        <f>IFERROR(INDEX('Name Redacted (TB)'!$F:$F,MATCH(B204,'Name Redacted (TB)'!$B:$B,0)),VALUE("0"))</f>
        <v>0</v>
      </c>
      <c r="H204" s="16">
        <f>IFERROR(SUMIFS('BnC (TB-Dec21)'!J:J,'BnC (TB-Dec21)'!I:I,C204),VALUE("0"))</f>
        <v>622679</v>
      </c>
      <c r="J204" s="21">
        <f t="shared" si="14"/>
        <v>622679</v>
      </c>
      <c r="K204" s="83">
        <f>SUMIFS('Consol Entries'!D:D,'Consol Entries'!C:C,C204)</f>
        <v>0</v>
      </c>
      <c r="L204" s="21">
        <f t="shared" si="13"/>
        <v>622679</v>
      </c>
    </row>
    <row r="205" spans="1:12" x14ac:dyDescent="0.45">
      <c r="A205" t="str">
        <f>_xlfn.XLOOKUP(C205,consol_Map!B:B,consol_Map!C:C,"",0)</f>
        <v>Salaries and payroll expenses</v>
      </c>
      <c r="C205" t="s">
        <v>1341</v>
      </c>
      <c r="F205" s="16">
        <f>IFERROR(INDEX('Name Redacted (TB)'!$F:$F,MATCH(B205,'Name Redacted (TB)'!$B:$B,0)),VALUE("0"))</f>
        <v>0</v>
      </c>
      <c r="H205" s="16">
        <f>IFERROR(SUMIFS('BnC (TB-Dec21)'!J:J,'BnC (TB-Dec21)'!I:I,C205),VALUE("0"))</f>
        <v>-333179</v>
      </c>
      <c r="J205" s="21">
        <f t="shared" si="14"/>
        <v>-333179</v>
      </c>
      <c r="K205" s="83">
        <f>SUMIFS('Consol Entries'!D:D,'Consol Entries'!C:C,C205)</f>
        <v>0</v>
      </c>
      <c r="L205" s="21">
        <f t="shared" ref="L205:L268" si="17">SUM(J205:K205)</f>
        <v>-333179</v>
      </c>
    </row>
    <row r="206" spans="1:12" x14ac:dyDescent="0.45">
      <c r="A206" t="str">
        <f>_xlfn.XLOOKUP(C206,consol_Map!B:B,consol_Map!C:C,"",0)</f>
        <v>Salaries and payroll expenses</v>
      </c>
      <c r="C206" t="s">
        <v>1342</v>
      </c>
      <c r="F206" s="16">
        <f>IFERROR(INDEX('Name Redacted (TB)'!$F:$F,MATCH(B206,'Name Redacted (TB)'!$B:$B,0)),VALUE("0"))</f>
        <v>0</v>
      </c>
      <c r="H206" s="16">
        <f>IFERROR(SUMIFS('BnC (TB-Dec21)'!J:J,'BnC (TB-Dec21)'!I:I,C206),VALUE("0"))</f>
        <v>462994</v>
      </c>
      <c r="J206" s="21">
        <f t="shared" si="14"/>
        <v>462994</v>
      </c>
      <c r="K206" s="83">
        <f>SUMIFS('Consol Entries'!D:D,'Consol Entries'!C:C,C206)</f>
        <v>0</v>
      </c>
      <c r="L206" s="21">
        <f t="shared" si="17"/>
        <v>462994</v>
      </c>
    </row>
    <row r="207" spans="1:12" x14ac:dyDescent="0.45">
      <c r="A207" t="str">
        <f>_xlfn.XLOOKUP(C207,consol_Map!B:B,consol_Map!C:C,"",0)</f>
        <v>Salaries and payroll expenses</v>
      </c>
      <c r="C207" t="s">
        <v>1367</v>
      </c>
      <c r="F207" s="16">
        <f>IFERROR(INDEX('Name Redacted (TB)'!$F:$F,MATCH(B207,'Name Redacted (TB)'!$B:$B,0)),VALUE("0"))</f>
        <v>0</v>
      </c>
      <c r="H207" s="16">
        <f>IFERROR(SUMIFS('BnC (TB-Dec21)'!J:J,'BnC (TB-Dec21)'!I:I,C207),VALUE("0"))</f>
        <v>690141.6</v>
      </c>
      <c r="J207" s="21">
        <f t="shared" si="14"/>
        <v>690141.6</v>
      </c>
      <c r="K207" s="83">
        <f>SUMIFS('Consol Entries'!D:D,'Consol Entries'!C:C,C207)</f>
        <v>0</v>
      </c>
      <c r="L207" s="21">
        <f t="shared" si="17"/>
        <v>690141.6</v>
      </c>
    </row>
    <row r="208" spans="1:12" x14ac:dyDescent="0.45">
      <c r="A208" t="str">
        <f>_xlfn.XLOOKUP(C208,consol_Map!B:B,consol_Map!C:C,"",0)</f>
        <v>Salaries and payroll expenses</v>
      </c>
      <c r="C208" t="s">
        <v>1368</v>
      </c>
      <c r="F208" s="16">
        <f>IFERROR(INDEX('Name Redacted (TB)'!$F:$F,MATCH(B208,'Name Redacted (TB)'!$B:$B,0)),VALUE("0"))</f>
        <v>0</v>
      </c>
      <c r="H208" s="16">
        <f>IFERROR(SUMIFS('BnC (TB-Dec21)'!J:J,'BnC (TB-Dec21)'!I:I,C208),VALUE("0"))</f>
        <v>-26256</v>
      </c>
      <c r="J208" s="21">
        <f t="shared" ref="J208:J271" si="18">F208+H208</f>
        <v>-26256</v>
      </c>
      <c r="K208" s="83">
        <f>SUMIFS('Consol Entries'!D:D,'Consol Entries'!C:C,C208)</f>
        <v>0</v>
      </c>
      <c r="L208" s="21">
        <f t="shared" si="17"/>
        <v>-26256</v>
      </c>
    </row>
    <row r="209" spans="1:12" x14ac:dyDescent="0.45">
      <c r="A209" t="str">
        <f>_xlfn.XLOOKUP(C209,consol_Map!B:B,consol_Map!C:C,"",0)</f>
        <v>Salaries and payroll expenses</v>
      </c>
      <c r="C209" t="s">
        <v>1369</v>
      </c>
      <c r="F209" s="16">
        <f>IFERROR(INDEX('Name Redacted (TB)'!$F:$F,MATCH(B209,'Name Redacted (TB)'!$B:$B,0)),VALUE("0"))</f>
        <v>0</v>
      </c>
      <c r="H209" s="16">
        <f>IFERROR(SUMIFS('BnC (TB-Dec21)'!J:J,'BnC (TB-Dec21)'!I:I,C209),VALUE("0"))</f>
        <v>5249550.8600000003</v>
      </c>
      <c r="J209" s="21">
        <f t="shared" si="18"/>
        <v>5249550.8600000003</v>
      </c>
      <c r="K209" s="83">
        <f>SUMIFS('Consol Entries'!D:D,'Consol Entries'!C:C,C209)</f>
        <v>0</v>
      </c>
      <c r="L209" s="21">
        <f t="shared" si="17"/>
        <v>5249550.8600000003</v>
      </c>
    </row>
    <row r="210" spans="1:12" x14ac:dyDescent="0.45">
      <c r="A210" t="str">
        <f>_xlfn.XLOOKUP(C210,consol_Map!B:B,consol_Map!C:C,"",0)</f>
        <v>Salaries and payroll expenses</v>
      </c>
      <c r="C210" t="s">
        <v>1370</v>
      </c>
      <c r="F210" s="16">
        <f>IFERROR(INDEX('Name Redacted (TB)'!$F:$F,MATCH(B210,'Name Redacted (TB)'!$B:$B,0)),VALUE("0"))</f>
        <v>0</v>
      </c>
      <c r="H210" s="16">
        <f>IFERROR(SUMIFS('BnC (TB-Dec21)'!J:J,'BnC (TB-Dec21)'!I:I,C210),VALUE("0"))</f>
        <v>-184508.84000000003</v>
      </c>
      <c r="J210" s="21">
        <f t="shared" si="18"/>
        <v>-184508.84000000003</v>
      </c>
      <c r="K210" s="83">
        <f>SUMIFS('Consol Entries'!D:D,'Consol Entries'!C:C,C210)</f>
        <v>0</v>
      </c>
      <c r="L210" s="21">
        <f t="shared" si="17"/>
        <v>-184508.84000000003</v>
      </c>
    </row>
    <row r="211" spans="1:12" x14ac:dyDescent="0.45">
      <c r="A211" t="str">
        <f>_xlfn.XLOOKUP(C211,consol_Map!B:B,consol_Map!C:C,"",0)</f>
        <v>Salaries and payroll expenses</v>
      </c>
      <c r="C211" t="s">
        <v>1371</v>
      </c>
      <c r="F211" s="16">
        <f>IFERROR(INDEX('Name Redacted (TB)'!$F:$F,MATCH(B211,'Name Redacted (TB)'!$B:$B,0)),VALUE("0"))</f>
        <v>0</v>
      </c>
      <c r="H211" s="16">
        <f>IFERROR(SUMIFS('BnC (TB-Dec21)'!J:J,'BnC (TB-Dec21)'!I:I,C211),VALUE("0"))</f>
        <v>509290.79</v>
      </c>
      <c r="J211" s="21">
        <f t="shared" si="18"/>
        <v>509290.79</v>
      </c>
      <c r="K211" s="83">
        <f>SUMIFS('Consol Entries'!D:D,'Consol Entries'!C:C,C211)</f>
        <v>0</v>
      </c>
      <c r="L211" s="21">
        <f t="shared" si="17"/>
        <v>509290.79</v>
      </c>
    </row>
    <row r="212" spans="1:12" x14ac:dyDescent="0.45">
      <c r="A212" t="str">
        <f>_xlfn.XLOOKUP(C212,consol_Map!B:B,consol_Map!C:C,"",0)</f>
        <v>Salaries and payroll expenses</v>
      </c>
      <c r="C212" t="s">
        <v>1352</v>
      </c>
      <c r="F212" s="16">
        <f>IFERROR(INDEX('Name Redacted (TB)'!$F:$F,MATCH(B212,'Name Redacted (TB)'!$B:$B,0)),VALUE("0"))</f>
        <v>0</v>
      </c>
      <c r="H212" s="16">
        <f>IFERROR(SUMIFS('BnC (TB-Dec21)'!J:J,'BnC (TB-Dec21)'!I:I,C212),VALUE("0"))</f>
        <v>-448370.88</v>
      </c>
      <c r="J212" s="21">
        <f t="shared" si="18"/>
        <v>-448370.88</v>
      </c>
      <c r="K212" s="83">
        <f>SUMIFS('Consol Entries'!D:D,'Consol Entries'!C:C,C212)</f>
        <v>0</v>
      </c>
      <c r="L212" s="21">
        <f t="shared" si="17"/>
        <v>-448370.88</v>
      </c>
    </row>
    <row r="213" spans="1:12" x14ac:dyDescent="0.45">
      <c r="A213" t="str">
        <f>_xlfn.XLOOKUP(C213,consol_Map!B:B,consol_Map!C:C,"",0)</f>
        <v>Salaries and payroll expenses</v>
      </c>
      <c r="C213" t="s">
        <v>1377</v>
      </c>
      <c r="F213" s="16">
        <f>IFERROR(INDEX('Name Redacted (TB)'!$F:$F,MATCH(B213,'Name Redacted (TB)'!$B:$B,0)),VALUE("0"))</f>
        <v>0</v>
      </c>
      <c r="H213" s="16">
        <f>IFERROR(SUMIFS('BnC (TB-Dec21)'!J:J,'BnC (TB-Dec21)'!I:I,C213),VALUE("0"))</f>
        <v>469150.5</v>
      </c>
      <c r="J213" s="21">
        <f t="shared" si="18"/>
        <v>469150.5</v>
      </c>
      <c r="K213" s="83">
        <f>SUMIFS('Consol Entries'!D:D,'Consol Entries'!C:C,C213)</f>
        <v>0</v>
      </c>
      <c r="L213" s="21">
        <f t="shared" si="17"/>
        <v>469150.5</v>
      </c>
    </row>
    <row r="214" spans="1:12" x14ac:dyDescent="0.45">
      <c r="A214" t="str">
        <f>_xlfn.XLOOKUP(C214,consol_Map!B:B,consol_Map!C:C,"",0)</f>
        <v>Selling and marketing expenses</v>
      </c>
      <c r="B214">
        <v>61200050</v>
      </c>
      <c r="C214" t="s">
        <v>1231</v>
      </c>
      <c r="F214" s="16">
        <f>IFERROR(INDEX('Name Redacted (TB)'!$F:$F,MATCH(B214,'Name Redacted (TB)'!$B:$B,0)),VALUE("0"))</f>
        <v>595360.16</v>
      </c>
      <c r="H214" s="16">
        <f>IFERROR(SUMIFS('BnC (TB-Dec21)'!J:J,'BnC (TB-Dec21)'!I:I,C214),VALUE("0"))</f>
        <v>0</v>
      </c>
      <c r="J214" s="21">
        <f t="shared" si="18"/>
        <v>595360.16</v>
      </c>
      <c r="K214" s="83">
        <f>SUMIFS('Consol Entries'!D:D,'Consol Entries'!C:C,C214)</f>
        <v>-133048.03</v>
      </c>
      <c r="L214" s="21">
        <f t="shared" si="17"/>
        <v>462312.13</v>
      </c>
    </row>
    <row r="215" spans="1:12" x14ac:dyDescent="0.45">
      <c r="A215" t="str">
        <f>_xlfn.XLOOKUP(C215,consol_Map!B:B,consol_Map!C:C,"",0)</f>
        <v>Selling and marketing expenses</v>
      </c>
      <c r="B215">
        <v>61200060</v>
      </c>
      <c r="C215" t="s">
        <v>1232</v>
      </c>
      <c r="F215" s="16">
        <f>IFERROR(INDEX('Name Redacted (TB)'!$F:$F,MATCH(B215,'Name Redacted (TB)'!$B:$B,0)),VALUE("0"))</f>
        <v>-411023.11</v>
      </c>
      <c r="H215" s="16">
        <f>IFERROR(SUMIFS('BnC (TB-Dec21)'!J:J,'BnC (TB-Dec21)'!I:I,C215),VALUE("0"))</f>
        <v>0</v>
      </c>
      <c r="J215" s="21">
        <f t="shared" si="18"/>
        <v>-411023.11</v>
      </c>
      <c r="K215" s="83">
        <f>SUMIFS('Consol Entries'!D:D,'Consol Entries'!C:C,C215)</f>
        <v>0</v>
      </c>
      <c r="L215" s="21">
        <f t="shared" si="17"/>
        <v>-411023.11</v>
      </c>
    </row>
    <row r="216" spans="1:12" x14ac:dyDescent="0.45">
      <c r="A216" t="str">
        <f>_xlfn.XLOOKUP(C216,consol_Map!B:B,consol_Map!C:C,"",0)</f>
        <v>Selling and marketing expenses</v>
      </c>
      <c r="B216">
        <v>61200070</v>
      </c>
      <c r="C216" t="s">
        <v>1233</v>
      </c>
      <c r="F216" s="16">
        <f>IFERROR(INDEX('Name Redacted (TB)'!$F:$F,MATCH(B216,'Name Redacted (TB)'!$B:$B,0)),VALUE("0"))</f>
        <v>487468.09</v>
      </c>
      <c r="H216" s="16">
        <f>IFERROR(SUMIFS('BnC (TB-Dec21)'!J:J,'BnC (TB-Dec21)'!I:I,C216),VALUE("0"))</f>
        <v>0</v>
      </c>
      <c r="J216" s="21">
        <f t="shared" si="18"/>
        <v>487468.09</v>
      </c>
      <c r="K216" s="83">
        <f>SUMIFS('Consol Entries'!D:D,'Consol Entries'!C:C,C216)</f>
        <v>0</v>
      </c>
      <c r="L216" s="21">
        <f t="shared" si="17"/>
        <v>487468.09</v>
      </c>
    </row>
    <row r="217" spans="1:12" x14ac:dyDescent="0.45">
      <c r="A217" t="str">
        <f>_xlfn.XLOOKUP(C217,consol_Map!B:B,consol_Map!C:C,"",0)</f>
        <v>Selling and marketing expenses</v>
      </c>
      <c r="B217">
        <v>61200130</v>
      </c>
      <c r="C217" t="s">
        <v>1234</v>
      </c>
      <c r="F217" s="16">
        <f>IFERROR(INDEX('Name Redacted (TB)'!$F:$F,MATCH(B217,'Name Redacted (TB)'!$B:$B,0)),VALUE("0"))</f>
        <v>-455799.1</v>
      </c>
      <c r="H217" s="16">
        <f>IFERROR(SUMIFS('BnC (TB-Dec21)'!J:J,'BnC (TB-Dec21)'!I:I,C217),VALUE("0"))</f>
        <v>0</v>
      </c>
      <c r="J217" s="21">
        <f t="shared" si="18"/>
        <v>-455799.1</v>
      </c>
      <c r="K217" s="83">
        <f>SUMIFS('Consol Entries'!D:D,'Consol Entries'!C:C,C217)</f>
        <v>0</v>
      </c>
      <c r="L217" s="21">
        <f t="shared" si="17"/>
        <v>-455799.1</v>
      </c>
    </row>
    <row r="218" spans="1:12" x14ac:dyDescent="0.45">
      <c r="A218" t="str">
        <f>_xlfn.XLOOKUP(C218,consol_Map!B:B,consol_Map!C:C,"",0)</f>
        <v>Selling and marketing expenses</v>
      </c>
      <c r="B218">
        <v>61200160</v>
      </c>
      <c r="C218" t="s">
        <v>1235</v>
      </c>
      <c r="F218" s="16">
        <f>IFERROR(INDEX('Name Redacted (TB)'!$F:$F,MATCH(B218,'Name Redacted (TB)'!$B:$B,0)),VALUE("0"))</f>
        <v>460455.16</v>
      </c>
      <c r="H218" s="16">
        <f>IFERROR(SUMIFS('BnC (TB-Dec21)'!J:J,'BnC (TB-Dec21)'!I:I,C218),VALUE("0"))</f>
        <v>0</v>
      </c>
      <c r="J218" s="21">
        <f t="shared" si="18"/>
        <v>460455.16</v>
      </c>
      <c r="K218" s="83">
        <f>SUMIFS('Consol Entries'!D:D,'Consol Entries'!C:C,C218)</f>
        <v>0</v>
      </c>
      <c r="L218" s="21">
        <f t="shared" si="17"/>
        <v>460455.16</v>
      </c>
    </row>
    <row r="219" spans="1:12" x14ac:dyDescent="0.45">
      <c r="A219" t="str">
        <f>_xlfn.XLOOKUP(C219,consol_Map!B:B,consol_Map!C:C,"",0)</f>
        <v>Selling and marketing expenses</v>
      </c>
      <c r="B219">
        <v>61200180</v>
      </c>
      <c r="C219" t="s">
        <v>1236</v>
      </c>
      <c r="F219" s="16">
        <f>IFERROR(INDEX('Name Redacted (TB)'!$F:$F,MATCH(B219,'Name Redacted (TB)'!$B:$B,0)),VALUE("0"))</f>
        <v>-386704.53</v>
      </c>
      <c r="H219" s="16">
        <f>IFERROR(SUMIFS('BnC (TB-Dec21)'!J:J,'BnC (TB-Dec21)'!I:I,C219),VALUE("0"))</f>
        <v>0</v>
      </c>
      <c r="J219" s="21">
        <f t="shared" si="18"/>
        <v>-386704.53</v>
      </c>
      <c r="K219" s="83">
        <f>SUMIFS('Consol Entries'!D:D,'Consol Entries'!C:C,C219)</f>
        <v>0</v>
      </c>
      <c r="L219" s="21">
        <f t="shared" si="17"/>
        <v>-386704.53</v>
      </c>
    </row>
    <row r="220" spans="1:12" x14ac:dyDescent="0.45">
      <c r="A220" t="str">
        <f>_xlfn.XLOOKUP(C220,consol_Map!B:B,consol_Map!C:C,"",0)</f>
        <v>Selling and marketing expenses</v>
      </c>
      <c r="B220">
        <v>61200210</v>
      </c>
      <c r="C220" t="s">
        <v>1237</v>
      </c>
      <c r="F220" s="16">
        <f>IFERROR(INDEX('Name Redacted (TB)'!$F:$F,MATCH(B220,'Name Redacted (TB)'!$B:$B,0)),VALUE("0"))</f>
        <v>476895.99</v>
      </c>
      <c r="H220" s="16">
        <f>IFERROR(SUMIFS('BnC (TB-Dec21)'!J:J,'BnC (TB-Dec21)'!I:I,C220),VALUE("0"))</f>
        <v>0</v>
      </c>
      <c r="J220" s="21">
        <f t="shared" si="18"/>
        <v>476895.99</v>
      </c>
      <c r="K220" s="83">
        <f>SUMIFS('Consol Entries'!D:D,'Consol Entries'!C:C,C220)</f>
        <v>0</v>
      </c>
      <c r="L220" s="21">
        <f t="shared" si="17"/>
        <v>476895.99</v>
      </c>
    </row>
    <row r="221" spans="1:12" x14ac:dyDescent="0.45">
      <c r="A221" t="str">
        <f>_xlfn.XLOOKUP(C221,consol_Map!B:B,consol_Map!C:C,"",0)</f>
        <v>Selling and marketing expenses</v>
      </c>
      <c r="B221">
        <v>61200220</v>
      </c>
      <c r="C221" t="s">
        <v>1238</v>
      </c>
      <c r="F221" s="16">
        <f>IFERROR(INDEX('Name Redacted (TB)'!$F:$F,MATCH(B221,'Name Redacted (TB)'!$B:$B,0)),VALUE("0"))</f>
        <v>-239946.4</v>
      </c>
      <c r="H221" s="16">
        <f>IFERROR(SUMIFS('BnC (TB-Dec21)'!J:J,'BnC (TB-Dec21)'!I:I,C221),VALUE("0"))</f>
        <v>0</v>
      </c>
      <c r="J221" s="21">
        <f t="shared" si="18"/>
        <v>-239946.4</v>
      </c>
      <c r="K221" s="83">
        <f>SUMIFS('Consol Entries'!D:D,'Consol Entries'!C:C,C221)</f>
        <v>0</v>
      </c>
      <c r="L221" s="21">
        <f t="shared" si="17"/>
        <v>-239946.4</v>
      </c>
    </row>
    <row r="222" spans="1:12" x14ac:dyDescent="0.45">
      <c r="A222" t="str">
        <f>_xlfn.XLOOKUP(C222,consol_Map!B:B,consol_Map!C:C,"",0)</f>
        <v>Selling and marketing expenses</v>
      </c>
      <c r="B222">
        <v>61200230</v>
      </c>
      <c r="C222" t="s">
        <v>1239</v>
      </c>
      <c r="F222" s="16">
        <f>IFERROR(INDEX('Name Redacted (TB)'!$F:$F,MATCH(B222,'Name Redacted (TB)'!$B:$B,0)),VALUE("0"))</f>
        <v>493832</v>
      </c>
      <c r="H222" s="16">
        <f>IFERROR(SUMIFS('BnC (TB-Dec21)'!J:J,'BnC (TB-Dec21)'!I:I,C222),VALUE("0"))</f>
        <v>0</v>
      </c>
      <c r="J222" s="21">
        <f t="shared" si="18"/>
        <v>493832</v>
      </c>
      <c r="K222" s="83">
        <f>SUMIFS('Consol Entries'!D:D,'Consol Entries'!C:C,C222)</f>
        <v>0</v>
      </c>
      <c r="L222" s="21">
        <f t="shared" si="17"/>
        <v>493832</v>
      </c>
    </row>
    <row r="223" spans="1:12" x14ac:dyDescent="0.45">
      <c r="A223" t="str">
        <f>_xlfn.XLOOKUP(C223,consol_Map!B:B,consol_Map!C:C,"",0)</f>
        <v>Selling and marketing expenses</v>
      </c>
      <c r="B223">
        <v>61200250</v>
      </c>
      <c r="C223" t="s">
        <v>1240</v>
      </c>
      <c r="F223" s="16">
        <f>IFERROR(INDEX('Name Redacted (TB)'!$F:$F,MATCH(B223,'Name Redacted (TB)'!$B:$B,0)),VALUE("0"))</f>
        <v>-190800.74</v>
      </c>
      <c r="H223" s="16">
        <f>IFERROR(SUMIFS('BnC (TB-Dec21)'!J:J,'BnC (TB-Dec21)'!I:I,C223),VALUE("0"))</f>
        <v>0</v>
      </c>
      <c r="J223" s="21">
        <f t="shared" si="18"/>
        <v>-190800.74</v>
      </c>
      <c r="K223" s="83">
        <f>SUMIFS('Consol Entries'!D:D,'Consol Entries'!C:C,C223)</f>
        <v>0</v>
      </c>
      <c r="L223" s="21">
        <f t="shared" si="17"/>
        <v>-190800.74</v>
      </c>
    </row>
    <row r="224" spans="1:12" x14ac:dyDescent="0.45">
      <c r="A224" t="str">
        <f>_xlfn.XLOOKUP(C224,consol_Map!B:B,consol_Map!C:C,"",0)</f>
        <v>Selling and marketing expenses</v>
      </c>
      <c r="C224" t="s">
        <v>1335</v>
      </c>
      <c r="F224" s="16">
        <f>IFERROR(INDEX('Name Redacted (TB)'!$F:$F,MATCH(B224,'Name Redacted (TB)'!$B:$B,0)),VALUE("0"))</f>
        <v>0</v>
      </c>
      <c r="H224" s="16">
        <f>IFERROR(SUMIFS('BnC (TB-Dec21)'!J:J,'BnC (TB-Dec21)'!I:I,C224),VALUE("0"))</f>
        <v>518903</v>
      </c>
      <c r="J224" s="21">
        <f t="shared" si="18"/>
        <v>518903</v>
      </c>
      <c r="K224" s="83">
        <f>SUMIFS('Consol Entries'!D:D,'Consol Entries'!C:C,C224)</f>
        <v>0</v>
      </c>
      <c r="L224" s="21">
        <f t="shared" si="17"/>
        <v>518903</v>
      </c>
    </row>
    <row r="225" spans="1:12" x14ac:dyDescent="0.45">
      <c r="A225" t="str">
        <f>_xlfn.XLOOKUP(C225,consol_Map!B:B,consol_Map!C:C,"",0)</f>
        <v>Selling and marketing expenses</v>
      </c>
      <c r="C225" t="s">
        <v>1358</v>
      </c>
      <c r="F225" s="16">
        <f>IFERROR(INDEX('Name Redacted (TB)'!$F:$F,MATCH(B225,'Name Redacted (TB)'!$B:$B,0)),VALUE("0"))</f>
        <v>0</v>
      </c>
      <c r="H225" s="16">
        <f>IFERROR(SUMIFS('BnC (TB-Dec21)'!J:J,'BnC (TB-Dec21)'!I:I,C225),VALUE("0"))</f>
        <v>-425745.08999999997</v>
      </c>
      <c r="J225" s="21">
        <f t="shared" si="18"/>
        <v>-425745.08999999997</v>
      </c>
      <c r="K225" s="83">
        <f>SUMIFS('Consol Entries'!D:D,'Consol Entries'!C:C,C225)</f>
        <v>0</v>
      </c>
      <c r="L225" s="21">
        <f t="shared" si="17"/>
        <v>-425745.08999999997</v>
      </c>
    </row>
    <row r="226" spans="1:12" x14ac:dyDescent="0.45">
      <c r="A226" t="str">
        <f>_xlfn.XLOOKUP(C226,consol_Map!B:B,consol_Map!C:C,"",0)</f>
        <v>Selling and marketing expenses</v>
      </c>
      <c r="C226" t="s">
        <v>1359</v>
      </c>
      <c r="F226" s="16">
        <f>IFERROR(INDEX('Name Redacted (TB)'!$F:$F,MATCH(B226,'Name Redacted (TB)'!$B:$B,0)),VALUE("0"))</f>
        <v>0</v>
      </c>
      <c r="H226" s="16">
        <f>IFERROR(SUMIFS('BnC (TB-Dec21)'!J:J,'BnC (TB-Dec21)'!I:I,C226),VALUE("0"))</f>
        <v>459879</v>
      </c>
      <c r="J226" s="21">
        <f t="shared" si="18"/>
        <v>459879</v>
      </c>
      <c r="K226" s="83">
        <f>SUMIFS('Consol Entries'!D:D,'Consol Entries'!C:C,C226)</f>
        <v>0</v>
      </c>
      <c r="L226" s="21">
        <f t="shared" si="17"/>
        <v>459879</v>
      </c>
    </row>
    <row r="227" spans="1:12" x14ac:dyDescent="0.45">
      <c r="A227" t="str">
        <f>_xlfn.XLOOKUP(C227,consol_Map!B:B,consol_Map!C:C,"",0)</f>
        <v>Selling and marketing expenses</v>
      </c>
      <c r="C227" t="s">
        <v>1360</v>
      </c>
      <c r="F227" s="16">
        <f>IFERROR(INDEX('Name Redacted (TB)'!$F:$F,MATCH(B227,'Name Redacted (TB)'!$B:$B,0)),VALUE("0"))</f>
        <v>0</v>
      </c>
      <c r="H227" s="16">
        <f>IFERROR(SUMIFS('BnC (TB-Dec21)'!J:J,'BnC (TB-Dec21)'!I:I,C227),VALUE("0"))</f>
        <v>-456483.09</v>
      </c>
      <c r="J227" s="21">
        <f t="shared" si="18"/>
        <v>-456483.09</v>
      </c>
      <c r="K227" s="83">
        <f>SUMIFS('Consol Entries'!D:D,'Consol Entries'!C:C,C227)</f>
        <v>0</v>
      </c>
      <c r="L227" s="21">
        <f t="shared" si="17"/>
        <v>-456483.09</v>
      </c>
    </row>
    <row r="228" spans="1:12" x14ac:dyDescent="0.45">
      <c r="A228" t="str">
        <f>_xlfn.XLOOKUP(C228,consol_Map!B:B,consol_Map!C:C,"",0)</f>
        <v>Distribution and logistic cost</v>
      </c>
      <c r="B228">
        <v>61300020</v>
      </c>
      <c r="C228" t="s">
        <v>1241</v>
      </c>
      <c r="F228" s="16">
        <f>IFERROR(INDEX('Name Redacted (TB)'!$F:$F,MATCH(B228,'Name Redacted (TB)'!$B:$B,0)),VALUE("0"))</f>
        <v>605306.57000000007</v>
      </c>
      <c r="H228" s="16">
        <f>IFERROR(SUMIFS('BnC (TB-Dec21)'!J:J,'BnC (TB-Dec21)'!I:I,C228),VALUE("0"))</f>
        <v>0</v>
      </c>
      <c r="J228" s="21">
        <f t="shared" si="18"/>
        <v>605306.57000000007</v>
      </c>
      <c r="K228" s="83">
        <f>SUMIFS('Consol Entries'!D:D,'Consol Entries'!C:C,C228)</f>
        <v>0</v>
      </c>
      <c r="L228" s="21">
        <f t="shared" si="17"/>
        <v>605306.57000000007</v>
      </c>
    </row>
    <row r="229" spans="1:12" x14ac:dyDescent="0.45">
      <c r="A229" t="str">
        <f>_xlfn.XLOOKUP(C229,consol_Map!B:B,consol_Map!C:C,"",0)</f>
        <v>Distribution and logistic cost</v>
      </c>
      <c r="B229">
        <v>61300030</v>
      </c>
      <c r="C229" t="s">
        <v>1242</v>
      </c>
      <c r="F229" s="16">
        <f>IFERROR(INDEX('Name Redacted (TB)'!$F:$F,MATCH(B229,'Name Redacted (TB)'!$B:$B,0)),VALUE("0"))</f>
        <v>-426125.18</v>
      </c>
      <c r="H229" s="16">
        <f>IFERROR(SUMIFS('BnC (TB-Dec21)'!J:J,'BnC (TB-Dec21)'!I:I,C229),VALUE("0"))</f>
        <v>0</v>
      </c>
      <c r="J229" s="21">
        <f t="shared" si="18"/>
        <v>-426125.18</v>
      </c>
      <c r="K229" s="83">
        <f>SUMIFS('Consol Entries'!D:D,'Consol Entries'!C:C,C229)</f>
        <v>0</v>
      </c>
      <c r="L229" s="21">
        <f t="shared" si="17"/>
        <v>-426125.18</v>
      </c>
    </row>
    <row r="230" spans="1:12" x14ac:dyDescent="0.45">
      <c r="A230" t="str">
        <f>_xlfn.XLOOKUP(C230,consol_Map!B:B,consol_Map!C:C,"",0)</f>
        <v>Distribution and logistic cost</v>
      </c>
      <c r="B230">
        <v>61300040</v>
      </c>
      <c r="C230" t="s">
        <v>1243</v>
      </c>
      <c r="F230" s="16">
        <f>IFERROR(INDEX('Name Redacted (TB)'!$F:$F,MATCH(B230,'Name Redacted (TB)'!$B:$B,0)),VALUE("0"))</f>
        <v>516579.49</v>
      </c>
      <c r="H230" s="16">
        <f>IFERROR(SUMIFS('BnC (TB-Dec21)'!J:J,'BnC (TB-Dec21)'!I:I,C230),VALUE("0"))</f>
        <v>0</v>
      </c>
      <c r="J230" s="21">
        <f t="shared" si="18"/>
        <v>516579.49</v>
      </c>
      <c r="K230" s="83">
        <f>SUMIFS('Consol Entries'!D:D,'Consol Entries'!C:C,C230)</f>
        <v>0</v>
      </c>
      <c r="L230" s="21">
        <f t="shared" si="17"/>
        <v>516579.49</v>
      </c>
    </row>
    <row r="231" spans="1:12" x14ac:dyDescent="0.45">
      <c r="A231" t="str">
        <f>_xlfn.XLOOKUP(C231,consol_Map!B:B,consol_Map!C:C,"",0)</f>
        <v>Distribution and logistic cost</v>
      </c>
      <c r="B231">
        <v>61300060</v>
      </c>
      <c r="C231" t="s">
        <v>1244</v>
      </c>
      <c r="F231" s="16">
        <f>IFERROR(INDEX('Name Redacted (TB)'!$F:$F,MATCH(B231,'Name Redacted (TB)'!$B:$B,0)),VALUE("0"))</f>
        <v>-231016.74</v>
      </c>
      <c r="H231" s="16">
        <f>IFERROR(SUMIFS('BnC (TB-Dec21)'!J:J,'BnC (TB-Dec21)'!I:I,C231),VALUE("0"))</f>
        <v>0</v>
      </c>
      <c r="J231" s="21">
        <f t="shared" si="18"/>
        <v>-231016.74</v>
      </c>
      <c r="K231" s="83">
        <f>SUMIFS('Consol Entries'!D:D,'Consol Entries'!C:C,C231)</f>
        <v>0</v>
      </c>
      <c r="L231" s="21">
        <f t="shared" si="17"/>
        <v>-231016.74</v>
      </c>
    </row>
    <row r="232" spans="1:12" x14ac:dyDescent="0.45">
      <c r="A232" t="str">
        <f>_xlfn.XLOOKUP(C232,consol_Map!B:B,consol_Map!C:C,"",0)</f>
        <v>Distribution and logistic cost</v>
      </c>
      <c r="B232">
        <v>61300070</v>
      </c>
      <c r="C232" t="s">
        <v>1245</v>
      </c>
      <c r="F232" s="16">
        <f>IFERROR(INDEX('Name Redacted (TB)'!$F:$F,MATCH(B232,'Name Redacted (TB)'!$B:$B,0)),VALUE("0"))</f>
        <v>473095.75</v>
      </c>
      <c r="H232" s="16">
        <f>IFERROR(SUMIFS('BnC (TB-Dec21)'!J:J,'BnC (TB-Dec21)'!I:I,C232),VALUE("0"))</f>
        <v>0</v>
      </c>
      <c r="J232" s="21">
        <f t="shared" si="18"/>
        <v>473095.75</v>
      </c>
      <c r="K232" s="83">
        <f>SUMIFS('Consol Entries'!D:D,'Consol Entries'!C:C,C232)</f>
        <v>0</v>
      </c>
      <c r="L232" s="21">
        <f t="shared" si="17"/>
        <v>473095.75</v>
      </c>
    </row>
    <row r="233" spans="1:12" x14ac:dyDescent="0.45">
      <c r="A233" t="str">
        <f>_xlfn.XLOOKUP(C233,consol_Map!B:B,consol_Map!C:C,"",0)</f>
        <v>Distribution and logistic cost</v>
      </c>
      <c r="B233">
        <v>61300080</v>
      </c>
      <c r="C233" t="s">
        <v>1246</v>
      </c>
      <c r="F233" s="16">
        <f>IFERROR(INDEX('Name Redacted (TB)'!$F:$F,MATCH(B233,'Name Redacted (TB)'!$B:$B,0)),VALUE("0"))</f>
        <v>-459146</v>
      </c>
      <c r="H233" s="16">
        <f>IFERROR(SUMIFS('BnC (TB-Dec21)'!J:J,'BnC (TB-Dec21)'!I:I,C233),VALUE("0"))</f>
        <v>0</v>
      </c>
      <c r="J233" s="21">
        <f t="shared" si="18"/>
        <v>-459146</v>
      </c>
      <c r="K233" s="83">
        <f>SUMIFS('Consol Entries'!D:D,'Consol Entries'!C:C,C233)</f>
        <v>0</v>
      </c>
      <c r="L233" s="21">
        <f t="shared" si="17"/>
        <v>-459146</v>
      </c>
    </row>
    <row r="234" spans="1:12" x14ac:dyDescent="0.45">
      <c r="A234" t="str">
        <f>_xlfn.XLOOKUP(C234,consol_Map!B:B,consol_Map!C:C,"",0)</f>
        <v>Distribution and logistic cost</v>
      </c>
      <c r="B234">
        <v>61300130</v>
      </c>
      <c r="C234" t="s">
        <v>1247</v>
      </c>
      <c r="F234" s="16">
        <f>IFERROR(INDEX('Name Redacted (TB)'!$F:$F,MATCH(B234,'Name Redacted (TB)'!$B:$B,0)),VALUE("0"))</f>
        <v>460648.41</v>
      </c>
      <c r="H234" s="16">
        <f>IFERROR(SUMIFS('BnC (TB-Dec21)'!J:J,'BnC (TB-Dec21)'!I:I,C234),VALUE("0"))</f>
        <v>0</v>
      </c>
      <c r="J234" s="21">
        <f t="shared" si="18"/>
        <v>460648.41</v>
      </c>
      <c r="K234" s="83">
        <f>SUMIFS('Consol Entries'!D:D,'Consol Entries'!C:C,C234)</f>
        <v>0</v>
      </c>
      <c r="L234" s="21">
        <f t="shared" si="17"/>
        <v>460648.41</v>
      </c>
    </row>
    <row r="235" spans="1:12" x14ac:dyDescent="0.45">
      <c r="A235" t="str">
        <f>_xlfn.XLOOKUP(C235,consol_Map!B:B,consol_Map!C:C,"",0)</f>
        <v>Distribution and logistic cost</v>
      </c>
      <c r="B235">
        <v>61300150</v>
      </c>
      <c r="C235" t="s">
        <v>1248</v>
      </c>
      <c r="F235" s="16">
        <f>IFERROR(INDEX('Name Redacted (TB)'!$F:$F,MATCH(B235,'Name Redacted (TB)'!$B:$B,0)),VALUE("0"))</f>
        <v>-456683.5</v>
      </c>
      <c r="H235" s="16">
        <f>IFERROR(SUMIFS('BnC (TB-Dec21)'!J:J,'BnC (TB-Dec21)'!I:I,C235),VALUE("0"))</f>
        <v>0</v>
      </c>
      <c r="J235" s="21">
        <f t="shared" si="18"/>
        <v>-456683.5</v>
      </c>
      <c r="K235" s="83">
        <f>SUMIFS('Consol Entries'!D:D,'Consol Entries'!C:C,C235)</f>
        <v>0</v>
      </c>
      <c r="L235" s="21">
        <f t="shared" si="17"/>
        <v>-456683.5</v>
      </c>
    </row>
    <row r="236" spans="1:12" x14ac:dyDescent="0.45">
      <c r="A236" t="str">
        <f>_xlfn.XLOOKUP(C236,consol_Map!B:B,consol_Map!C:C,"",0)</f>
        <v>Distribution and logistic cost</v>
      </c>
      <c r="B236">
        <v>61300160</v>
      </c>
      <c r="C236" t="s">
        <v>1249</v>
      </c>
      <c r="F236" s="16">
        <f>IFERROR(INDEX('Name Redacted (TB)'!$F:$F,MATCH(B236,'Name Redacted (TB)'!$B:$B,0)),VALUE("0"))</f>
        <v>4993432.95</v>
      </c>
      <c r="H236" s="16">
        <f>IFERROR(SUMIFS('BnC (TB-Dec21)'!J:J,'BnC (TB-Dec21)'!I:I,C236),VALUE("0"))</f>
        <v>0</v>
      </c>
      <c r="J236" s="21">
        <f t="shared" si="18"/>
        <v>4993432.95</v>
      </c>
      <c r="K236" s="83">
        <f>SUMIFS('Consol Entries'!D:D,'Consol Entries'!C:C,C236)</f>
        <v>0</v>
      </c>
      <c r="L236" s="21">
        <f t="shared" si="17"/>
        <v>4993432.95</v>
      </c>
    </row>
    <row r="237" spans="1:12" x14ac:dyDescent="0.45">
      <c r="A237" t="str">
        <f>_xlfn.XLOOKUP(C237,consol_Map!B:B,consol_Map!C:C,"",0)</f>
        <v>Distribution and logistic cost</v>
      </c>
      <c r="C237" t="s">
        <v>1366</v>
      </c>
      <c r="F237" s="16">
        <f>IFERROR(INDEX('Name Redacted (TB)'!$F:$F,MATCH(B237,'Name Redacted (TB)'!$B:$B,0)),VALUE("0"))</f>
        <v>0</v>
      </c>
      <c r="H237" s="16">
        <f>IFERROR(SUMIFS('BnC (TB-Dec21)'!J:J,'BnC (TB-Dec21)'!I:I,C237),VALUE("0"))</f>
        <v>-459679</v>
      </c>
      <c r="J237" s="21">
        <f t="shared" si="18"/>
        <v>-459679</v>
      </c>
      <c r="K237" s="83">
        <f>SUMIFS('Consol Entries'!D:D,'Consol Entries'!C:C,C237)</f>
        <v>0</v>
      </c>
      <c r="L237" s="21">
        <f t="shared" si="17"/>
        <v>-459679</v>
      </c>
    </row>
    <row r="238" spans="1:12" x14ac:dyDescent="0.45">
      <c r="A238" t="str">
        <f>_xlfn.XLOOKUP(C238,consol_Map!B:B,consol_Map!C:C,"",0)</f>
        <v>Distribution and logistic cost</v>
      </c>
      <c r="C238" t="s">
        <v>1376</v>
      </c>
      <c r="F238" s="16">
        <f>IFERROR(INDEX('Name Redacted (TB)'!$F:$F,MATCH(B238,'Name Redacted (TB)'!$B:$B,0)),VALUE("0"))</f>
        <v>0</v>
      </c>
      <c r="H238" s="16">
        <f>IFERROR(SUMIFS('BnC (TB-Dec21)'!J:J,'BnC (TB-Dec21)'!I:I,C238),VALUE("0"))</f>
        <v>-404080.23</v>
      </c>
      <c r="J238" s="21">
        <f t="shared" si="18"/>
        <v>-404080.23</v>
      </c>
      <c r="K238" s="83">
        <f>SUMIFS('Consol Entries'!D:D,'Consol Entries'!C:C,C238)</f>
        <v>0</v>
      </c>
      <c r="L238" s="21">
        <f t="shared" si="17"/>
        <v>-404080.23</v>
      </c>
    </row>
    <row r="239" spans="1:12" x14ac:dyDescent="0.45">
      <c r="A239" t="str">
        <f>_xlfn.XLOOKUP(C239,consol_Map!B:B,consol_Map!C:C,"",0)</f>
        <v>Distribution and logistic cost</v>
      </c>
      <c r="C239" t="s">
        <v>1339</v>
      </c>
      <c r="F239" s="16">
        <f>IFERROR(INDEX('Name Redacted (TB)'!$F:$F,MATCH(B239,'Name Redacted (TB)'!$B:$B,0)),VALUE("0"))</f>
        <v>0</v>
      </c>
      <c r="H239" s="16">
        <f>IFERROR(SUMIFS('BnC (TB-Dec21)'!J:J,'BnC (TB-Dec21)'!I:I,C239),VALUE("0"))</f>
        <v>735173.15999999992</v>
      </c>
      <c r="J239" s="21">
        <f t="shared" si="18"/>
        <v>735173.15999999992</v>
      </c>
      <c r="K239" s="83">
        <f>SUMIFS('Consol Entries'!D:D,'Consol Entries'!C:C,C239)</f>
        <v>0</v>
      </c>
      <c r="L239" s="21">
        <f t="shared" si="17"/>
        <v>735173.15999999992</v>
      </c>
    </row>
    <row r="240" spans="1:12" x14ac:dyDescent="0.45">
      <c r="A240" t="str">
        <f>_xlfn.XLOOKUP(C240,consol_Map!B:B,consol_Map!C:C,"",0)</f>
        <v>General and administrative cost</v>
      </c>
      <c r="B240">
        <v>61400040</v>
      </c>
      <c r="C240" t="s">
        <v>1250</v>
      </c>
      <c r="F240" s="16">
        <f>IFERROR(INDEX('Name Redacted (TB)'!$F:$F,MATCH(B240,'Name Redacted (TB)'!$B:$B,0)),VALUE("0"))</f>
        <v>8911987.2699999996</v>
      </c>
      <c r="H240" s="16">
        <f>IFERROR(SUMIFS('BnC (TB-Dec21)'!J:J,'BnC (TB-Dec21)'!I:I,C240),VALUE("0"))</f>
        <v>0</v>
      </c>
      <c r="J240" s="21">
        <f t="shared" si="18"/>
        <v>8911987.2699999996</v>
      </c>
      <c r="K240" s="83">
        <f>SUMIFS('Consol Entries'!D:D,'Consol Entries'!C:C,C240)</f>
        <v>0</v>
      </c>
      <c r="L240" s="21">
        <f t="shared" si="17"/>
        <v>8911987.2699999996</v>
      </c>
    </row>
    <row r="241" spans="1:12" x14ac:dyDescent="0.45">
      <c r="A241" t="str">
        <f>_xlfn.XLOOKUP(C241,consol_Map!B:B,consol_Map!C:C,"",0)</f>
        <v>General and administrative cost</v>
      </c>
      <c r="B241">
        <v>61400045</v>
      </c>
      <c r="C241" t="s">
        <v>1251</v>
      </c>
      <c r="F241" s="16">
        <f>IFERROR(INDEX('Name Redacted (TB)'!$F:$F,MATCH(B241,'Name Redacted (TB)'!$B:$B,0)),VALUE("0"))</f>
        <v>1750654.37</v>
      </c>
      <c r="H241" s="16">
        <f>IFERROR(SUMIFS('BnC (TB-Dec21)'!J:J,'BnC (TB-Dec21)'!I:I,C241),VALUE("0"))</f>
        <v>0</v>
      </c>
      <c r="J241" s="21">
        <f t="shared" si="18"/>
        <v>1750654.37</v>
      </c>
      <c r="K241" s="83">
        <f>SUMIFS('Consol Entries'!D:D,'Consol Entries'!C:C,C241)</f>
        <v>0</v>
      </c>
      <c r="L241" s="21">
        <f t="shared" si="17"/>
        <v>1750654.37</v>
      </c>
    </row>
    <row r="242" spans="1:12" x14ac:dyDescent="0.45">
      <c r="A242" t="str">
        <f>_xlfn.XLOOKUP(C242,consol_Map!B:B,consol_Map!C:C,"",0)</f>
        <v>General and administrative cost</v>
      </c>
      <c r="B242">
        <v>61400050</v>
      </c>
      <c r="C242" t="s">
        <v>1252</v>
      </c>
      <c r="F242" s="16">
        <f>IFERROR(INDEX('Name Redacted (TB)'!$F:$F,MATCH(B242,'Name Redacted (TB)'!$B:$B,0)),VALUE("0"))</f>
        <v>135691.38</v>
      </c>
      <c r="H242" s="16">
        <f>IFERROR(SUMIFS('BnC (TB-Dec21)'!J:J,'BnC (TB-Dec21)'!I:I,C242),VALUE("0"))</f>
        <v>0</v>
      </c>
      <c r="J242" s="21">
        <f t="shared" si="18"/>
        <v>135691.38</v>
      </c>
      <c r="K242" s="83">
        <f>SUMIFS('Consol Entries'!D:D,'Consol Entries'!C:C,C242)</f>
        <v>0</v>
      </c>
      <c r="L242" s="21">
        <f t="shared" si="17"/>
        <v>135691.38</v>
      </c>
    </row>
    <row r="243" spans="1:12" x14ac:dyDescent="0.45">
      <c r="A243" t="str">
        <f>_xlfn.XLOOKUP(C243,consol_Map!B:B,consol_Map!C:C,"",0)</f>
        <v>General and administrative cost</v>
      </c>
      <c r="B243">
        <v>61400055</v>
      </c>
      <c r="C243" t="s">
        <v>1253</v>
      </c>
      <c r="F243" s="16">
        <f>IFERROR(INDEX('Name Redacted (TB)'!$F:$F,MATCH(B243,'Name Redacted (TB)'!$B:$B,0)),VALUE("0"))</f>
        <v>465543.25</v>
      </c>
      <c r="H243" s="16">
        <f>IFERROR(SUMIFS('BnC (TB-Dec21)'!J:J,'BnC (TB-Dec21)'!I:I,C243),VALUE("0"))</f>
        <v>0</v>
      </c>
      <c r="J243" s="21">
        <f t="shared" si="18"/>
        <v>465543.25</v>
      </c>
      <c r="K243" s="83">
        <f>SUMIFS('Consol Entries'!D:D,'Consol Entries'!C:C,C243)</f>
        <v>0</v>
      </c>
      <c r="L243" s="21">
        <f t="shared" si="17"/>
        <v>465543.25</v>
      </c>
    </row>
    <row r="244" spans="1:12" x14ac:dyDescent="0.45">
      <c r="A244" t="str">
        <f>_xlfn.XLOOKUP(C244,consol_Map!B:B,consol_Map!C:C,"",0)</f>
        <v>General and administrative cost</v>
      </c>
      <c r="B244">
        <v>61400060</v>
      </c>
      <c r="C244" t="s">
        <v>1254</v>
      </c>
      <c r="F244" s="16">
        <f>IFERROR(INDEX('Name Redacted (TB)'!$F:$F,MATCH(B244,'Name Redacted (TB)'!$B:$B,0)),VALUE("0"))</f>
        <v>-457887</v>
      </c>
      <c r="H244" s="16">
        <f>IFERROR(SUMIFS('BnC (TB-Dec21)'!J:J,'BnC (TB-Dec21)'!I:I,C244),VALUE("0"))</f>
        <v>0</v>
      </c>
      <c r="J244" s="21">
        <f t="shared" si="18"/>
        <v>-457887</v>
      </c>
      <c r="K244" s="83">
        <f>SUMIFS('Consol Entries'!D:D,'Consol Entries'!C:C,C244)</f>
        <v>0</v>
      </c>
      <c r="L244" s="21">
        <f t="shared" si="17"/>
        <v>-457887</v>
      </c>
    </row>
    <row r="245" spans="1:12" x14ac:dyDescent="0.45">
      <c r="A245" t="str">
        <f>_xlfn.XLOOKUP(C245,consol_Map!B:B,consol_Map!C:C,"",0)</f>
        <v>General and administrative cost</v>
      </c>
      <c r="B245">
        <v>61400070</v>
      </c>
      <c r="C245" t="s">
        <v>1255</v>
      </c>
      <c r="F245" s="16">
        <f>IFERROR(INDEX('Name Redacted (TB)'!$F:$F,MATCH(B245,'Name Redacted (TB)'!$B:$B,0)),VALUE("0"))</f>
        <v>593719</v>
      </c>
      <c r="H245" s="16">
        <f>IFERROR(SUMIFS('BnC (TB-Dec21)'!J:J,'BnC (TB-Dec21)'!I:I,C245),VALUE("0"))</f>
        <v>0</v>
      </c>
      <c r="J245" s="21">
        <f t="shared" si="18"/>
        <v>593719</v>
      </c>
      <c r="K245" s="83">
        <f>SUMIFS('Consol Entries'!D:D,'Consol Entries'!C:C,C245)</f>
        <v>0</v>
      </c>
      <c r="L245" s="21">
        <f t="shared" si="17"/>
        <v>593719</v>
      </c>
    </row>
    <row r="246" spans="1:12" x14ac:dyDescent="0.45">
      <c r="A246" t="str">
        <f>_xlfn.XLOOKUP(C246,consol_Map!B:B,consol_Map!C:C,"",0)</f>
        <v>General and administrative cost</v>
      </c>
      <c r="B246">
        <v>61400110</v>
      </c>
      <c r="C246" t="s">
        <v>1256</v>
      </c>
      <c r="F246" s="16">
        <f>IFERROR(INDEX('Name Redacted (TB)'!$F:$F,MATCH(B246,'Name Redacted (TB)'!$B:$B,0)),VALUE("0"))</f>
        <v>-434702.94</v>
      </c>
      <c r="H246" s="16">
        <f>IFERROR(SUMIFS('BnC (TB-Dec21)'!J:J,'BnC (TB-Dec21)'!I:I,C246),VALUE("0"))</f>
        <v>0</v>
      </c>
      <c r="J246" s="21">
        <f t="shared" si="18"/>
        <v>-434702.94</v>
      </c>
      <c r="K246" s="83">
        <f>SUMIFS('Consol Entries'!D:D,'Consol Entries'!C:C,C246)</f>
        <v>0</v>
      </c>
      <c r="L246" s="21">
        <f t="shared" si="17"/>
        <v>-434702.94</v>
      </c>
    </row>
    <row r="247" spans="1:12" x14ac:dyDescent="0.45">
      <c r="A247" t="str">
        <f>_xlfn.XLOOKUP(C247,consol_Map!B:B,consol_Map!C:C,"",0)</f>
        <v>General and administrative cost</v>
      </c>
      <c r="B247">
        <v>61400130</v>
      </c>
      <c r="C247" t="s">
        <v>1257</v>
      </c>
      <c r="F247" s="16">
        <f>IFERROR(INDEX('Name Redacted (TB)'!$F:$F,MATCH(B247,'Name Redacted (TB)'!$B:$B,0)),VALUE("0"))</f>
        <v>2271058.04</v>
      </c>
      <c r="H247" s="16">
        <f>IFERROR(SUMIFS('BnC (TB-Dec21)'!J:J,'BnC (TB-Dec21)'!I:I,C247),VALUE("0"))</f>
        <v>0</v>
      </c>
      <c r="J247" s="21">
        <f t="shared" si="18"/>
        <v>2271058.04</v>
      </c>
      <c r="K247" s="83">
        <f>SUMIFS('Consol Entries'!D:D,'Consol Entries'!C:C,C247)</f>
        <v>0</v>
      </c>
      <c r="L247" s="21">
        <f t="shared" si="17"/>
        <v>2271058.04</v>
      </c>
    </row>
    <row r="248" spans="1:12" x14ac:dyDescent="0.45">
      <c r="A248" t="str">
        <f>_xlfn.XLOOKUP(C248,consol_Map!B:B,consol_Map!C:C,"",0)</f>
        <v>General and administrative cost</v>
      </c>
      <c r="C248" t="s">
        <v>1365</v>
      </c>
      <c r="F248" s="16">
        <f>IFERROR(INDEX('Name Redacted (TB)'!$F:$F,MATCH(B248,'Name Redacted (TB)'!$B:$B,0)),VALUE("0"))</f>
        <v>0</v>
      </c>
      <c r="H248" s="16">
        <f>IFERROR(SUMIFS('BnC (TB-Dec21)'!J:J,'BnC (TB-Dec21)'!I:I,C248),VALUE("0"))</f>
        <v>5566543.21</v>
      </c>
      <c r="J248" s="21">
        <f t="shared" si="18"/>
        <v>5566543.21</v>
      </c>
      <c r="K248" s="83">
        <f>SUMIFS('Consol Entries'!D:D,'Consol Entries'!C:C,C248)</f>
        <v>0</v>
      </c>
      <c r="L248" s="21">
        <f t="shared" si="17"/>
        <v>5566543.21</v>
      </c>
    </row>
    <row r="249" spans="1:12" x14ac:dyDescent="0.45">
      <c r="A249" t="str">
        <f>_xlfn.XLOOKUP(C249,consol_Map!B:B,consol_Map!C:C,"",0)</f>
        <v>General and administrative cost</v>
      </c>
      <c r="C249" t="s">
        <v>1355</v>
      </c>
      <c r="F249" s="16">
        <f>IFERROR(INDEX('Name Redacted (TB)'!$F:$F,MATCH(B249,'Name Redacted (TB)'!$B:$B,0)),VALUE("0"))</f>
        <v>0</v>
      </c>
      <c r="H249" s="16">
        <f>IFERROR(SUMIFS('BnC (TB-Dec21)'!J:J,'BnC (TB-Dec21)'!I:I,C249),VALUE("0"))</f>
        <v>791740.81</v>
      </c>
      <c r="J249" s="21">
        <f t="shared" si="18"/>
        <v>791740.81</v>
      </c>
      <c r="K249" s="83">
        <f>SUMIFS('Consol Entries'!D:D,'Consol Entries'!C:C,C249)</f>
        <v>0</v>
      </c>
      <c r="L249" s="21">
        <f t="shared" si="17"/>
        <v>791740.81</v>
      </c>
    </row>
    <row r="250" spans="1:12" x14ac:dyDescent="0.45">
      <c r="A250" t="str">
        <f>_xlfn.XLOOKUP(C250,consol_Map!B:B,consol_Map!C:C,"",0)</f>
        <v>General and administrative cost</v>
      </c>
      <c r="C250" t="s">
        <v>1356</v>
      </c>
      <c r="F250" s="16">
        <f>IFERROR(INDEX('Name Redacted (TB)'!$F:$F,MATCH(B250,'Name Redacted (TB)'!$B:$B,0)),VALUE("0"))</f>
        <v>0</v>
      </c>
      <c r="H250" s="16">
        <f>IFERROR(SUMIFS('BnC (TB-Dec21)'!J:J,'BnC (TB-Dec21)'!I:I,C250),VALUE("0"))</f>
        <v>132807.71000000002</v>
      </c>
      <c r="J250" s="21">
        <f t="shared" si="18"/>
        <v>132807.71000000002</v>
      </c>
      <c r="K250" s="83">
        <f>SUMIFS('Consol Entries'!D:D,'Consol Entries'!C:C,C250)</f>
        <v>0</v>
      </c>
      <c r="L250" s="21">
        <f t="shared" si="17"/>
        <v>132807.71000000002</v>
      </c>
    </row>
    <row r="251" spans="1:12" x14ac:dyDescent="0.45">
      <c r="A251" t="str">
        <f>_xlfn.XLOOKUP(C251,consol_Map!B:B,consol_Map!C:C,"",0)</f>
        <v>General and administrative cost</v>
      </c>
      <c r="C251" t="s">
        <v>1383</v>
      </c>
      <c r="F251" s="16">
        <f>IFERROR(INDEX('Name Redacted (TB)'!$F:$F,MATCH(B251,'Name Redacted (TB)'!$B:$B,0)),VALUE("0"))</f>
        <v>0</v>
      </c>
      <c r="H251" s="16">
        <f>IFERROR(SUMIFS('BnC (TB-Dec21)'!J:J,'BnC (TB-Dec21)'!I:I,C251),VALUE("0"))</f>
        <v>487824.25999999995</v>
      </c>
      <c r="J251" s="21">
        <f t="shared" si="18"/>
        <v>487824.25999999995</v>
      </c>
      <c r="K251" s="83">
        <f>SUMIFS('Consol Entries'!D:D,'Consol Entries'!C:C,C251)</f>
        <v>0</v>
      </c>
      <c r="L251" s="21">
        <f t="shared" si="17"/>
        <v>487824.25999999995</v>
      </c>
    </row>
    <row r="252" spans="1:12" x14ac:dyDescent="0.45">
      <c r="A252" t="str">
        <f>_xlfn.XLOOKUP(C252,consol_Map!B:B,consol_Map!C:C,"",0)</f>
        <v>General and administrative cost</v>
      </c>
      <c r="B252">
        <v>61700010</v>
      </c>
      <c r="C252" t="s">
        <v>1258</v>
      </c>
      <c r="F252" s="16">
        <f>IFERROR(INDEX('Name Redacted (TB)'!$F:$F,MATCH(B252,'Name Redacted (TB)'!$B:$B,0)),VALUE("0"))</f>
        <v>-459634.14</v>
      </c>
      <c r="H252" s="16">
        <f>IFERROR(SUMIFS('BnC (TB-Dec21)'!J:J,'BnC (TB-Dec21)'!I:I,C252),VALUE("0"))</f>
        <v>0</v>
      </c>
      <c r="J252" s="21">
        <f t="shared" si="18"/>
        <v>-459634.14</v>
      </c>
      <c r="K252" s="83">
        <f>SUMIFS('Consol Entries'!D:D,'Consol Entries'!C:C,C252)</f>
        <v>0</v>
      </c>
      <c r="L252" s="21">
        <f t="shared" si="17"/>
        <v>-459634.14</v>
      </c>
    </row>
    <row r="253" spans="1:12" x14ac:dyDescent="0.45">
      <c r="A253" t="str">
        <f>_xlfn.XLOOKUP(C253,consol_Map!B:B,consol_Map!C:C,"",0)</f>
        <v>General and administrative cost</v>
      </c>
      <c r="B253">
        <v>61700020</v>
      </c>
      <c r="C253" t="s">
        <v>1259</v>
      </c>
      <c r="F253" s="16">
        <f>IFERROR(INDEX('Name Redacted (TB)'!$F:$F,MATCH(B253,'Name Redacted (TB)'!$B:$B,0)),VALUE("0"))</f>
        <v>461711.66</v>
      </c>
      <c r="H253" s="16">
        <f>IFERROR(SUMIFS('BnC (TB-Dec21)'!J:J,'BnC (TB-Dec21)'!I:I,C253),VALUE("0"))</f>
        <v>0</v>
      </c>
      <c r="J253" s="21">
        <f t="shared" si="18"/>
        <v>461711.66</v>
      </c>
      <c r="K253" s="83">
        <f>SUMIFS('Consol Entries'!D:D,'Consol Entries'!C:C,C253)</f>
        <v>0</v>
      </c>
      <c r="L253" s="21">
        <f t="shared" si="17"/>
        <v>461711.66</v>
      </c>
    </row>
    <row r="254" spans="1:12" x14ac:dyDescent="0.45">
      <c r="A254" t="str">
        <f>_xlfn.XLOOKUP(C254,consol_Map!B:B,consol_Map!C:C,"",0)</f>
        <v>General and administrative cost</v>
      </c>
      <c r="B254">
        <v>61700030</v>
      </c>
      <c r="C254" t="s">
        <v>1260</v>
      </c>
      <c r="F254" s="16">
        <f>IFERROR(INDEX('Name Redacted (TB)'!$F:$F,MATCH(B254,'Name Redacted (TB)'!$B:$B,0)),VALUE("0"))</f>
        <v>-356879</v>
      </c>
      <c r="H254" s="16">
        <f>IFERROR(SUMIFS('BnC (TB-Dec21)'!J:J,'BnC (TB-Dec21)'!I:I,C254),VALUE("0"))</f>
        <v>0</v>
      </c>
      <c r="J254" s="21">
        <f t="shared" si="18"/>
        <v>-356879</v>
      </c>
      <c r="K254" s="83">
        <f>SUMIFS('Consol Entries'!D:D,'Consol Entries'!C:C,C254)</f>
        <v>0</v>
      </c>
      <c r="L254" s="21">
        <f t="shared" si="17"/>
        <v>-356879</v>
      </c>
    </row>
    <row r="255" spans="1:12" x14ac:dyDescent="0.45">
      <c r="A255" t="str">
        <f>_xlfn.XLOOKUP(C255,consol_Map!B:B,consol_Map!C:C,"",0)</f>
        <v>General and administrative cost</v>
      </c>
      <c r="B255">
        <v>61700040</v>
      </c>
      <c r="C255" t="s">
        <v>1261</v>
      </c>
      <c r="F255" s="16">
        <f>IFERROR(INDEX('Name Redacted (TB)'!$F:$F,MATCH(B255,'Name Redacted (TB)'!$B:$B,0)),VALUE("0"))</f>
        <v>470584.5</v>
      </c>
      <c r="H255" s="16">
        <f>IFERROR(SUMIFS('BnC (TB-Dec21)'!J:J,'BnC (TB-Dec21)'!I:I,C255),VALUE("0"))</f>
        <v>0</v>
      </c>
      <c r="J255" s="21">
        <f t="shared" si="18"/>
        <v>470584.5</v>
      </c>
      <c r="K255" s="83">
        <f>SUMIFS('Consol Entries'!D:D,'Consol Entries'!C:C,C255)</f>
        <v>0</v>
      </c>
      <c r="L255" s="21">
        <f t="shared" si="17"/>
        <v>470584.5</v>
      </c>
    </row>
    <row r="256" spans="1:12" x14ac:dyDescent="0.45">
      <c r="A256" t="str">
        <f>_xlfn.XLOOKUP(C256,consol_Map!B:B,consol_Map!C:C,"",0)</f>
        <v>General and administrative cost</v>
      </c>
      <c r="B256">
        <v>61700050</v>
      </c>
      <c r="C256" t="s">
        <v>1262</v>
      </c>
      <c r="F256" s="16">
        <f>IFERROR(INDEX('Name Redacted (TB)'!$F:$F,MATCH(B256,'Name Redacted (TB)'!$B:$B,0)),VALUE("0"))</f>
        <v>-416329</v>
      </c>
      <c r="H256" s="16">
        <f>IFERROR(SUMIFS('BnC (TB-Dec21)'!J:J,'BnC (TB-Dec21)'!I:I,C256),VALUE("0"))</f>
        <v>0</v>
      </c>
      <c r="J256" s="21">
        <f t="shared" si="18"/>
        <v>-416329</v>
      </c>
      <c r="K256" s="83">
        <f>SUMIFS('Consol Entries'!D:D,'Consol Entries'!C:C,C256)</f>
        <v>0</v>
      </c>
      <c r="L256" s="21">
        <f t="shared" si="17"/>
        <v>-416329</v>
      </c>
    </row>
    <row r="257" spans="1:12" x14ac:dyDescent="0.45">
      <c r="A257" t="str">
        <f>_xlfn.XLOOKUP(C257,consol_Map!B:B,consol_Map!C:C,"",0)</f>
        <v>General and administrative cost</v>
      </c>
      <c r="B257">
        <v>61700060</v>
      </c>
      <c r="C257" t="s">
        <v>1263</v>
      </c>
      <c r="F257" s="16">
        <f>IFERROR(INDEX('Name Redacted (TB)'!$F:$F,MATCH(B257,'Name Redacted (TB)'!$B:$B,0)),VALUE("0"))</f>
        <v>465086</v>
      </c>
      <c r="H257" s="16">
        <f>IFERROR(SUMIFS('BnC (TB-Dec21)'!J:J,'BnC (TB-Dec21)'!I:I,C257),VALUE("0"))</f>
        <v>0</v>
      </c>
      <c r="J257" s="21">
        <f t="shared" si="18"/>
        <v>465086</v>
      </c>
      <c r="K257" s="83">
        <f>SUMIFS('Consol Entries'!D:D,'Consol Entries'!C:C,C257)</f>
        <v>0</v>
      </c>
      <c r="L257" s="21">
        <f t="shared" si="17"/>
        <v>465086</v>
      </c>
    </row>
    <row r="258" spans="1:12" x14ac:dyDescent="0.45">
      <c r="A258" t="str">
        <f>_xlfn.XLOOKUP(C258,consol_Map!B:B,consol_Map!C:C,"",0)</f>
        <v>General and administrative cost</v>
      </c>
      <c r="B258">
        <v>61700070</v>
      </c>
      <c r="C258" t="s">
        <v>1264</v>
      </c>
      <c r="F258" s="16">
        <f>IFERROR(INDEX('Name Redacted (TB)'!$F:$F,MATCH(B258,'Name Redacted (TB)'!$B:$B,0)),VALUE("0"))</f>
        <v>-458479</v>
      </c>
      <c r="H258" s="16">
        <f>IFERROR(SUMIFS('BnC (TB-Dec21)'!J:J,'BnC (TB-Dec21)'!I:I,C258),VALUE("0"))</f>
        <v>0</v>
      </c>
      <c r="J258" s="21">
        <f t="shared" si="18"/>
        <v>-458479</v>
      </c>
      <c r="K258" s="83">
        <f>SUMIFS('Consol Entries'!D:D,'Consol Entries'!C:C,C258)</f>
        <v>0</v>
      </c>
      <c r="L258" s="21">
        <f t="shared" si="17"/>
        <v>-458479</v>
      </c>
    </row>
    <row r="259" spans="1:12" x14ac:dyDescent="0.45">
      <c r="A259" t="str">
        <f>_xlfn.XLOOKUP(C259,consol_Map!B:B,consol_Map!C:C,"",0)</f>
        <v>General and administrative cost</v>
      </c>
      <c r="B259">
        <v>61700080</v>
      </c>
      <c r="C259" t="s">
        <v>1265</v>
      </c>
      <c r="F259" s="16">
        <f>IFERROR(INDEX('Name Redacted (TB)'!$F:$F,MATCH(B259,'Name Redacted (TB)'!$B:$B,0)),VALUE("0"))</f>
        <v>784268.67999999993</v>
      </c>
      <c r="H259" s="16">
        <f>IFERROR(SUMIFS('BnC (TB-Dec21)'!J:J,'BnC (TB-Dec21)'!I:I,C259),VALUE("0"))</f>
        <v>0</v>
      </c>
      <c r="J259" s="21">
        <f t="shared" si="18"/>
        <v>784268.67999999993</v>
      </c>
      <c r="K259" s="83">
        <f>SUMIFS('Consol Entries'!D:D,'Consol Entries'!C:C,C259)</f>
        <v>0</v>
      </c>
      <c r="L259" s="21">
        <f t="shared" si="17"/>
        <v>784268.67999999993</v>
      </c>
    </row>
    <row r="260" spans="1:12" x14ac:dyDescent="0.45">
      <c r="A260" t="str">
        <f>_xlfn.XLOOKUP(C260,consol_Map!B:B,consol_Map!C:C,"",0)</f>
        <v>General and administrative cost</v>
      </c>
      <c r="B260">
        <v>61700090</v>
      </c>
      <c r="C260" t="s">
        <v>1266</v>
      </c>
      <c r="F260" s="16">
        <f>IFERROR(INDEX('Name Redacted (TB)'!$F:$F,MATCH(B260,'Name Redacted (TB)'!$B:$B,0)),VALUE("0"))</f>
        <v>-422868.9</v>
      </c>
      <c r="H260" s="16">
        <f>IFERROR(SUMIFS('BnC (TB-Dec21)'!J:J,'BnC (TB-Dec21)'!I:I,C260),VALUE("0"))</f>
        <v>0</v>
      </c>
      <c r="J260" s="21">
        <f t="shared" si="18"/>
        <v>-422868.9</v>
      </c>
      <c r="K260" s="83">
        <f>SUMIFS('Consol Entries'!D:D,'Consol Entries'!C:C,C260)</f>
        <v>0</v>
      </c>
      <c r="L260" s="21">
        <f t="shared" si="17"/>
        <v>-422868.9</v>
      </c>
    </row>
    <row r="261" spans="1:12" x14ac:dyDescent="0.45">
      <c r="A261" t="str">
        <f>_xlfn.XLOOKUP(C261,consol_Map!B:B,consol_Map!C:C,"",0)</f>
        <v>General and administrative cost</v>
      </c>
      <c r="B261">
        <v>61700100</v>
      </c>
      <c r="C261" t="s">
        <v>1267</v>
      </c>
      <c r="F261" s="16">
        <f>IFERROR(INDEX('Name Redacted (TB)'!$F:$F,MATCH(B261,'Name Redacted (TB)'!$B:$B,0)),VALUE("0"))</f>
        <v>4350697.7799999993</v>
      </c>
      <c r="H261" s="16">
        <f>IFERROR(SUMIFS('BnC (TB-Dec21)'!J:J,'BnC (TB-Dec21)'!I:I,C261),VALUE("0"))</f>
        <v>0</v>
      </c>
      <c r="J261" s="21">
        <f t="shared" si="18"/>
        <v>4350697.7799999993</v>
      </c>
      <c r="K261" s="83">
        <f>SUMIFS('Consol Entries'!D:D,'Consol Entries'!C:C,C261)</f>
        <v>0</v>
      </c>
      <c r="L261" s="21">
        <f t="shared" si="17"/>
        <v>4350697.7799999993</v>
      </c>
    </row>
    <row r="262" spans="1:12" x14ac:dyDescent="0.45">
      <c r="A262" t="str">
        <f>_xlfn.XLOOKUP(C262,consol_Map!B:B,consol_Map!C:C,"",0)</f>
        <v>General and administrative cost</v>
      </c>
      <c r="B262">
        <v>61700120</v>
      </c>
      <c r="C262" t="s">
        <v>1268</v>
      </c>
      <c r="F262" s="16">
        <f>IFERROR(INDEX('Name Redacted (TB)'!$F:$F,MATCH(B262,'Name Redacted (TB)'!$B:$B,0)),VALUE("0"))</f>
        <v>-304131.84999999998</v>
      </c>
      <c r="H262" s="16">
        <f>IFERROR(SUMIFS('BnC (TB-Dec21)'!J:J,'BnC (TB-Dec21)'!I:I,C262),VALUE("0"))</f>
        <v>0</v>
      </c>
      <c r="J262" s="21">
        <f t="shared" si="18"/>
        <v>-304131.84999999998</v>
      </c>
      <c r="K262" s="83">
        <f>SUMIFS('Consol Entries'!D:D,'Consol Entries'!C:C,C262)</f>
        <v>0</v>
      </c>
      <c r="L262" s="21">
        <f t="shared" si="17"/>
        <v>-304131.84999999998</v>
      </c>
    </row>
    <row r="263" spans="1:12" x14ac:dyDescent="0.45">
      <c r="A263" t="str">
        <f>_xlfn.XLOOKUP(C263,consol_Map!B:B,consol_Map!C:C,"",0)</f>
        <v>General and administrative cost</v>
      </c>
      <c r="B263">
        <v>61700130</v>
      </c>
      <c r="C263" t="s">
        <v>1269</v>
      </c>
      <c r="F263" s="16">
        <f>IFERROR(INDEX('Name Redacted (TB)'!$F:$F,MATCH(B263,'Name Redacted (TB)'!$B:$B,0)),VALUE("0"))</f>
        <v>670256.74</v>
      </c>
      <c r="H263" s="16">
        <f>IFERROR(SUMIFS('BnC (TB-Dec21)'!J:J,'BnC (TB-Dec21)'!I:I,C263),VALUE("0"))</f>
        <v>0</v>
      </c>
      <c r="J263" s="21">
        <f t="shared" si="18"/>
        <v>670256.74</v>
      </c>
      <c r="K263" s="83">
        <f>SUMIFS('Consol Entries'!D:D,'Consol Entries'!C:C,C263)</f>
        <v>0</v>
      </c>
      <c r="L263" s="21">
        <f t="shared" si="17"/>
        <v>670256.74</v>
      </c>
    </row>
    <row r="264" spans="1:12" x14ac:dyDescent="0.45">
      <c r="A264" t="str">
        <f>_xlfn.XLOOKUP(C264,consol_Map!B:B,consol_Map!C:C,"",0)</f>
        <v>General and administrative cost</v>
      </c>
      <c r="B264">
        <v>61700140</v>
      </c>
      <c r="C264" t="s">
        <v>1270</v>
      </c>
      <c r="F264" s="16">
        <f>IFERROR(INDEX('Name Redacted (TB)'!$F:$F,MATCH(B264,'Name Redacted (TB)'!$B:$B,0)),VALUE("0"))</f>
        <v>-451179</v>
      </c>
      <c r="H264" s="16">
        <f>IFERROR(SUMIFS('BnC (TB-Dec21)'!J:J,'BnC (TB-Dec21)'!I:I,C264),VALUE("0"))</f>
        <v>0</v>
      </c>
      <c r="J264" s="21">
        <f t="shared" si="18"/>
        <v>-451179</v>
      </c>
      <c r="K264" s="83">
        <f>SUMIFS('Consol Entries'!D:D,'Consol Entries'!C:C,C264)</f>
        <v>0</v>
      </c>
      <c r="L264" s="21">
        <f t="shared" si="17"/>
        <v>-451179</v>
      </c>
    </row>
    <row r="265" spans="1:12" x14ac:dyDescent="0.45">
      <c r="A265" t="str">
        <f>_xlfn.XLOOKUP(C265,consol_Map!B:B,consol_Map!C:C,"",0)</f>
        <v>General and administrative cost</v>
      </c>
      <c r="B265">
        <v>61700160</v>
      </c>
      <c r="C265" t="s">
        <v>1271</v>
      </c>
      <c r="F265" s="16">
        <f>IFERROR(INDEX('Name Redacted (TB)'!$F:$F,MATCH(B265,'Name Redacted (TB)'!$B:$B,0)),VALUE("0"))</f>
        <v>599995.94999999995</v>
      </c>
      <c r="H265" s="16">
        <f>IFERROR(SUMIFS('BnC (TB-Dec21)'!J:J,'BnC (TB-Dec21)'!I:I,C265),VALUE("0"))</f>
        <v>0</v>
      </c>
      <c r="J265" s="21">
        <f t="shared" si="18"/>
        <v>599995.94999999995</v>
      </c>
      <c r="K265" s="83">
        <f>SUMIFS('Consol Entries'!D:D,'Consol Entries'!C:C,C265)</f>
        <v>0</v>
      </c>
      <c r="L265" s="21">
        <f t="shared" si="17"/>
        <v>599995.94999999995</v>
      </c>
    </row>
    <row r="266" spans="1:12" x14ac:dyDescent="0.45">
      <c r="A266" t="str">
        <f>_xlfn.XLOOKUP(C266,consol_Map!B:B,consol_Map!C:C,"",0)</f>
        <v>General and administrative cost</v>
      </c>
      <c r="B266">
        <v>61700180</v>
      </c>
      <c r="C266" t="s">
        <v>1272</v>
      </c>
      <c r="F266" s="16">
        <f>IFERROR(INDEX('Name Redacted (TB)'!$F:$F,MATCH(B266,'Name Redacted (TB)'!$B:$B,0)),VALUE("0"))</f>
        <v>-330634.21000000002</v>
      </c>
      <c r="H266" s="16">
        <f>IFERROR(SUMIFS('BnC (TB-Dec21)'!J:J,'BnC (TB-Dec21)'!I:I,C266),VALUE("0"))</f>
        <v>0</v>
      </c>
      <c r="J266" s="21">
        <f t="shared" si="18"/>
        <v>-330634.21000000002</v>
      </c>
      <c r="K266" s="83">
        <f>SUMIFS('Consol Entries'!D:D,'Consol Entries'!C:C,C266)</f>
        <v>0</v>
      </c>
      <c r="L266" s="21">
        <f t="shared" si="17"/>
        <v>-330634.21000000002</v>
      </c>
    </row>
    <row r="267" spans="1:12" x14ac:dyDescent="0.45">
      <c r="A267" t="str">
        <f>_xlfn.XLOOKUP(C267,consol_Map!B:B,consol_Map!C:C,"",0)</f>
        <v>General and administrative cost</v>
      </c>
      <c r="B267">
        <v>61700190</v>
      </c>
      <c r="C267" t="s">
        <v>1273</v>
      </c>
      <c r="F267" s="16">
        <f>IFERROR(INDEX('Name Redacted (TB)'!$F:$F,MATCH(B267,'Name Redacted (TB)'!$B:$B,0)),VALUE("0"))</f>
        <v>621577.13</v>
      </c>
      <c r="H267" s="16">
        <f>IFERROR(SUMIFS('BnC (TB-Dec21)'!J:J,'BnC (TB-Dec21)'!I:I,C267),VALUE("0"))</f>
        <v>0</v>
      </c>
      <c r="J267" s="21">
        <f t="shared" si="18"/>
        <v>621577.13</v>
      </c>
      <c r="K267" s="83">
        <f>SUMIFS('Consol Entries'!D:D,'Consol Entries'!C:C,C267)</f>
        <v>0</v>
      </c>
      <c r="L267" s="21">
        <f t="shared" si="17"/>
        <v>621577.13</v>
      </c>
    </row>
    <row r="268" spans="1:12" x14ac:dyDescent="0.45">
      <c r="A268" t="str">
        <f>_xlfn.XLOOKUP(C268,consol_Map!B:B,consol_Map!C:C,"",0)</f>
        <v>General and administrative cost</v>
      </c>
      <c r="B268">
        <v>61700200</v>
      </c>
      <c r="C268" t="s">
        <v>1274</v>
      </c>
      <c r="F268" s="16">
        <f>IFERROR(INDEX('Name Redacted (TB)'!$F:$F,MATCH(B268,'Name Redacted (TB)'!$B:$B,0)),VALUE("0"))</f>
        <v>-418173.87</v>
      </c>
      <c r="H268" s="16">
        <f>IFERROR(SUMIFS('BnC (TB-Dec21)'!J:J,'BnC (TB-Dec21)'!I:I,C268),VALUE("0"))</f>
        <v>0</v>
      </c>
      <c r="J268" s="21">
        <f t="shared" si="18"/>
        <v>-418173.87</v>
      </c>
      <c r="K268" s="83">
        <f>SUMIFS('Consol Entries'!D:D,'Consol Entries'!C:C,C268)</f>
        <v>0</v>
      </c>
      <c r="L268" s="21">
        <f t="shared" si="17"/>
        <v>-418173.87</v>
      </c>
    </row>
    <row r="269" spans="1:12" x14ac:dyDescent="0.45">
      <c r="A269" t="str">
        <f>_xlfn.XLOOKUP(C269,consol_Map!B:B,consol_Map!C:C,"",0)</f>
        <v>General and administrative cost</v>
      </c>
      <c r="B269">
        <v>61700220</v>
      </c>
      <c r="C269" t="s">
        <v>1275</v>
      </c>
      <c r="F269" s="16">
        <f>IFERROR(INDEX('Name Redacted (TB)'!$F:$F,MATCH(B269,'Name Redacted (TB)'!$B:$B,0)),VALUE("0"))</f>
        <v>463399.2</v>
      </c>
      <c r="H269" s="16">
        <f>IFERROR(SUMIFS('BnC (TB-Dec21)'!J:J,'BnC (TB-Dec21)'!I:I,C269),VALUE("0"))</f>
        <v>0</v>
      </c>
      <c r="J269" s="21">
        <f t="shared" si="18"/>
        <v>463399.2</v>
      </c>
      <c r="K269" s="83">
        <f>SUMIFS('Consol Entries'!D:D,'Consol Entries'!C:C,C269)</f>
        <v>0</v>
      </c>
      <c r="L269" s="21">
        <f t="shared" ref="L269:L333" si="19">SUM(J269:K269)</f>
        <v>463399.2</v>
      </c>
    </row>
    <row r="270" spans="1:12" x14ac:dyDescent="0.45">
      <c r="A270" t="str">
        <f>_xlfn.XLOOKUP(C270,consol_Map!B:B,consol_Map!C:C,"",0)</f>
        <v>General and administrative cost</v>
      </c>
      <c r="B270">
        <v>61700230</v>
      </c>
      <c r="C270" t="s">
        <v>1276</v>
      </c>
      <c r="F270" s="16">
        <f>IFERROR(INDEX('Name Redacted (TB)'!$F:$F,MATCH(B270,'Name Redacted (TB)'!$B:$B,0)),VALUE("0"))</f>
        <v>-448510.3</v>
      </c>
      <c r="H270" s="16">
        <f>IFERROR(SUMIFS('BnC (TB-Dec21)'!J:J,'BnC (TB-Dec21)'!I:I,C270),VALUE("0"))</f>
        <v>0</v>
      </c>
      <c r="J270" s="21">
        <f t="shared" si="18"/>
        <v>-448510.3</v>
      </c>
      <c r="K270" s="83">
        <f>SUMIFS('Consol Entries'!D:D,'Consol Entries'!C:C,C270)</f>
        <v>0</v>
      </c>
      <c r="L270" s="21">
        <f t="shared" si="19"/>
        <v>-448510.3</v>
      </c>
    </row>
    <row r="271" spans="1:12" x14ac:dyDescent="0.45">
      <c r="A271" t="str">
        <f>_xlfn.XLOOKUP(C271,consol_Map!B:B,consol_Map!C:C,"",0)</f>
        <v>General and administrative cost</v>
      </c>
      <c r="B271">
        <v>61700240</v>
      </c>
      <c r="C271" t="s">
        <v>1277</v>
      </c>
      <c r="F271" s="16">
        <f>IFERROR(INDEX('Name Redacted (TB)'!$F:$F,MATCH(B271,'Name Redacted (TB)'!$B:$B,0)),VALUE("0"))</f>
        <v>978290.97</v>
      </c>
      <c r="H271" s="16">
        <f>IFERROR(SUMIFS('BnC (TB-Dec21)'!J:J,'BnC (TB-Dec21)'!I:I,C271),VALUE("0"))</f>
        <v>0</v>
      </c>
      <c r="J271" s="21">
        <f t="shared" si="18"/>
        <v>978290.97</v>
      </c>
      <c r="K271" s="83">
        <f>SUMIFS('Consol Entries'!D:D,'Consol Entries'!C:C,C271)</f>
        <v>0</v>
      </c>
      <c r="L271" s="21">
        <f t="shared" si="19"/>
        <v>978290.97</v>
      </c>
    </row>
    <row r="272" spans="1:12" x14ac:dyDescent="0.45">
      <c r="A272" t="str">
        <f>_xlfn.XLOOKUP(C272,consol_Map!B:B,consol_Map!C:C,"",0)</f>
        <v>General and administrative cost</v>
      </c>
      <c r="B272">
        <v>61700250</v>
      </c>
      <c r="C272" t="s">
        <v>1278</v>
      </c>
      <c r="F272" s="16">
        <f>IFERROR(INDEX('Name Redacted (TB)'!$F:$F,MATCH(B272,'Name Redacted (TB)'!$B:$B,0)),VALUE("0"))</f>
        <v>-35761.489999999991</v>
      </c>
      <c r="H272" s="16">
        <f>IFERROR(SUMIFS('BnC (TB-Dec21)'!J:J,'BnC (TB-Dec21)'!I:I,C272),VALUE("0"))</f>
        <v>0</v>
      </c>
      <c r="J272" s="21">
        <f t="shared" ref="J272:J337" si="20">F272+H272</f>
        <v>-35761.489999999991</v>
      </c>
      <c r="K272" s="83">
        <f>SUMIFS('Consol Entries'!D:D,'Consol Entries'!C:C,C272)</f>
        <v>0</v>
      </c>
      <c r="L272" s="21">
        <f t="shared" si="19"/>
        <v>-35761.489999999991</v>
      </c>
    </row>
    <row r="273" spans="1:12" x14ac:dyDescent="0.45">
      <c r="A273" t="str">
        <f>_xlfn.XLOOKUP(C273,consol_Map!B:B,consol_Map!C:C,"",0)</f>
        <v>General and administrative cost</v>
      </c>
      <c r="B273">
        <v>61700260</v>
      </c>
      <c r="C273" t="s">
        <v>1279</v>
      </c>
      <c r="F273" s="16">
        <f>IFERROR(INDEX('Name Redacted (TB)'!$F:$F,MATCH(B273,'Name Redacted (TB)'!$B:$B,0)),VALUE("0"))</f>
        <v>1726061.54</v>
      </c>
      <c r="H273" s="16">
        <f>IFERROR(SUMIFS('BnC (TB-Dec21)'!J:J,'BnC (TB-Dec21)'!I:I,C273),VALUE("0"))</f>
        <v>0</v>
      </c>
      <c r="J273" s="21">
        <f t="shared" si="20"/>
        <v>1726061.54</v>
      </c>
      <c r="K273" s="83">
        <f>SUMIFS('Consol Entries'!D:D,'Consol Entries'!C:C,C273)</f>
        <v>0</v>
      </c>
      <c r="L273" s="21">
        <f t="shared" si="19"/>
        <v>1726061.54</v>
      </c>
    </row>
    <row r="274" spans="1:12" x14ac:dyDescent="0.45">
      <c r="A274" t="str">
        <f>_xlfn.XLOOKUP(C274,consol_Map!B:B,consol_Map!C:C,"",0)</f>
        <v>General and administrative cost</v>
      </c>
      <c r="B274">
        <v>61700270</v>
      </c>
      <c r="C274" t="s">
        <v>1280</v>
      </c>
      <c r="F274" s="16">
        <f>IFERROR(INDEX('Name Redacted (TB)'!$F:$F,MATCH(B274,'Name Redacted (TB)'!$B:$B,0)),VALUE("0"))</f>
        <v>-402043.21</v>
      </c>
      <c r="H274" s="16">
        <f>IFERROR(SUMIFS('BnC (TB-Dec21)'!J:J,'BnC (TB-Dec21)'!I:I,C274),VALUE("0"))</f>
        <v>0</v>
      </c>
      <c r="J274" s="21">
        <f t="shared" si="20"/>
        <v>-402043.21</v>
      </c>
      <c r="K274" s="83">
        <f>SUMIFS('Consol Entries'!D:D,'Consol Entries'!C:C,C274)</f>
        <v>0</v>
      </c>
      <c r="L274" s="21">
        <f t="shared" si="19"/>
        <v>-402043.21</v>
      </c>
    </row>
    <row r="275" spans="1:12" x14ac:dyDescent="0.45">
      <c r="A275" t="str">
        <f>_xlfn.XLOOKUP(C275,consol_Map!B:B,consol_Map!C:C,"",0)</f>
        <v>General and administrative cost</v>
      </c>
      <c r="B275">
        <v>61700280</v>
      </c>
      <c r="C275" t="s">
        <v>1281</v>
      </c>
      <c r="F275" s="16">
        <f>IFERROR(INDEX('Name Redacted (TB)'!$F:$F,MATCH(B275,'Name Redacted (TB)'!$B:$B,0)),VALUE("0"))</f>
        <v>516816.97</v>
      </c>
      <c r="H275" s="16">
        <f>IFERROR(SUMIFS('BnC (TB-Dec21)'!J:J,'BnC (TB-Dec21)'!I:I,C275),VALUE("0"))</f>
        <v>0</v>
      </c>
      <c r="J275" s="21">
        <f t="shared" si="20"/>
        <v>516816.97</v>
      </c>
      <c r="K275" s="83">
        <f>SUMIFS('Consol Entries'!D:D,'Consol Entries'!C:C,C275)</f>
        <v>0</v>
      </c>
      <c r="L275" s="21">
        <f t="shared" si="19"/>
        <v>516816.97</v>
      </c>
    </row>
    <row r="276" spans="1:12" x14ac:dyDescent="0.45">
      <c r="A276" t="str">
        <f>_xlfn.XLOOKUP(C276,consol_Map!B:B,consol_Map!C:C,"",0)</f>
        <v>General and administrative cost</v>
      </c>
      <c r="B276">
        <v>61700290</v>
      </c>
      <c r="C276" t="s">
        <v>1282</v>
      </c>
      <c r="F276" s="16">
        <f>IFERROR(INDEX('Name Redacted (TB)'!$F:$F,MATCH(B276,'Name Redacted (TB)'!$B:$B,0)),VALUE("0"))</f>
        <v>-367945.32</v>
      </c>
      <c r="H276" s="16">
        <f>IFERROR(SUMIFS('BnC (TB-Dec21)'!J:J,'BnC (TB-Dec21)'!I:I,C276),VALUE("0"))</f>
        <v>0</v>
      </c>
      <c r="J276" s="21">
        <f t="shared" si="20"/>
        <v>-367945.32</v>
      </c>
      <c r="K276" s="83">
        <f>SUMIFS('Consol Entries'!D:D,'Consol Entries'!C:C,C276)</f>
        <v>0</v>
      </c>
      <c r="L276" s="21">
        <f t="shared" si="19"/>
        <v>-367945.32</v>
      </c>
    </row>
    <row r="277" spans="1:12" x14ac:dyDescent="0.45">
      <c r="A277" t="str">
        <f>_xlfn.XLOOKUP(C277,consol_Map!B:B,consol_Map!C:C,"",0)</f>
        <v>General and administrative cost</v>
      </c>
      <c r="B277">
        <v>61700300</v>
      </c>
      <c r="C277" t="s">
        <v>1283</v>
      </c>
      <c r="F277" s="16">
        <f>IFERROR(INDEX('Name Redacted (TB)'!$F:$F,MATCH(B277,'Name Redacted (TB)'!$B:$B,0)),VALUE("0"))</f>
        <v>556801.77</v>
      </c>
      <c r="H277" s="16">
        <f>IFERROR(SUMIFS('BnC (TB-Dec21)'!J:J,'BnC (TB-Dec21)'!I:I,C277),VALUE("0"))</f>
        <v>0</v>
      </c>
      <c r="J277" s="21">
        <f t="shared" si="20"/>
        <v>556801.77</v>
      </c>
      <c r="K277" s="83">
        <f>SUMIFS('Consol Entries'!D:D,'Consol Entries'!C:C,C277)</f>
        <v>0</v>
      </c>
      <c r="L277" s="21">
        <f t="shared" si="19"/>
        <v>556801.77</v>
      </c>
    </row>
    <row r="278" spans="1:12" x14ac:dyDescent="0.45">
      <c r="A278" t="str">
        <f>_xlfn.XLOOKUP(C278,consol_Map!B:B,consol_Map!C:C,"",0)</f>
        <v>General and administrative cost</v>
      </c>
      <c r="B278">
        <v>61700310</v>
      </c>
      <c r="C278" t="s">
        <v>1284</v>
      </c>
      <c r="F278" s="16">
        <f>IFERROR(INDEX('Name Redacted (TB)'!$F:$F,MATCH(B278,'Name Redacted (TB)'!$B:$B,0)),VALUE("0"))</f>
        <v>-414148.37</v>
      </c>
      <c r="H278" s="16">
        <f>IFERROR(SUMIFS('BnC (TB-Dec21)'!J:J,'BnC (TB-Dec21)'!I:I,C278),VALUE("0"))</f>
        <v>0</v>
      </c>
      <c r="J278" s="21">
        <f t="shared" si="20"/>
        <v>-414148.37</v>
      </c>
      <c r="K278" s="83">
        <f>SUMIFS('Consol Entries'!D:D,'Consol Entries'!C:C,C278)</f>
        <v>0</v>
      </c>
      <c r="L278" s="21">
        <f t="shared" si="19"/>
        <v>-414148.37</v>
      </c>
    </row>
    <row r="279" spans="1:12" x14ac:dyDescent="0.45">
      <c r="A279" t="str">
        <f>_xlfn.XLOOKUP(C279,consol_Map!B:B,consol_Map!C:C,"",0)</f>
        <v>General and administrative cost</v>
      </c>
      <c r="B279">
        <v>61700320</v>
      </c>
      <c r="C279" t="s">
        <v>1285</v>
      </c>
      <c r="F279" s="16">
        <f>IFERROR(INDEX('Name Redacted (TB)'!$F:$F,MATCH(B279,'Name Redacted (TB)'!$B:$B,0)),VALUE("0"))</f>
        <v>463514.94</v>
      </c>
      <c r="H279" s="16">
        <f>IFERROR(SUMIFS('BnC (TB-Dec21)'!J:J,'BnC (TB-Dec21)'!I:I,C279),VALUE("0"))</f>
        <v>0</v>
      </c>
      <c r="J279" s="21">
        <f t="shared" si="20"/>
        <v>463514.94</v>
      </c>
      <c r="K279" s="83">
        <f>SUMIFS('Consol Entries'!D:D,'Consol Entries'!C:C,C279)</f>
        <v>0</v>
      </c>
      <c r="L279" s="21">
        <f t="shared" si="19"/>
        <v>463514.94</v>
      </c>
    </row>
    <row r="280" spans="1:12" x14ac:dyDescent="0.45">
      <c r="A280" t="str">
        <f>_xlfn.XLOOKUP(C280,consol_Map!B:B,consol_Map!C:C,"",0)</f>
        <v>General and administrative cost</v>
      </c>
      <c r="B280">
        <v>61700330</v>
      </c>
      <c r="C280" t="s">
        <v>1286</v>
      </c>
      <c r="F280" s="16">
        <f>IFERROR(INDEX('Name Redacted (TB)'!$F:$F,MATCH(B280,'Name Redacted (TB)'!$B:$B,0)),VALUE("0"))</f>
        <v>-403182</v>
      </c>
      <c r="H280" s="16">
        <f>IFERROR(SUMIFS('BnC (TB-Dec21)'!J:J,'BnC (TB-Dec21)'!I:I,C280),VALUE("0"))</f>
        <v>0</v>
      </c>
      <c r="J280" s="21">
        <f t="shared" si="20"/>
        <v>-403182</v>
      </c>
      <c r="K280" s="83">
        <f>SUMIFS('Consol Entries'!D:D,'Consol Entries'!C:C,C280)</f>
        <v>0</v>
      </c>
      <c r="L280" s="21">
        <f t="shared" si="19"/>
        <v>-403182</v>
      </c>
    </row>
    <row r="281" spans="1:12" x14ac:dyDescent="0.45">
      <c r="A281" t="str">
        <f>_xlfn.XLOOKUP(C281,consol_Map!B:B,consol_Map!C:C,"",0)</f>
        <v>General and administrative cost</v>
      </c>
      <c r="B281">
        <v>61700340</v>
      </c>
      <c r="C281" t="s">
        <v>1287</v>
      </c>
      <c r="F281" s="16">
        <f>IFERROR(INDEX('Name Redacted (TB)'!$F:$F,MATCH(B281,'Name Redacted (TB)'!$B:$B,0)),VALUE("0"))</f>
        <v>463188.31</v>
      </c>
      <c r="H281" s="16">
        <f>IFERROR(SUMIFS('BnC (TB-Dec21)'!J:J,'BnC (TB-Dec21)'!I:I,C281),VALUE("0"))</f>
        <v>0</v>
      </c>
      <c r="J281" s="21">
        <f t="shared" si="20"/>
        <v>463188.31</v>
      </c>
      <c r="K281" s="83">
        <f>SUMIFS('Consol Entries'!D:D,'Consol Entries'!C:C,C281)</f>
        <v>0</v>
      </c>
      <c r="L281" s="21">
        <f t="shared" si="19"/>
        <v>463188.31</v>
      </c>
    </row>
    <row r="282" spans="1:12" x14ac:dyDescent="0.45">
      <c r="A282" t="str">
        <f>_xlfn.XLOOKUP(C282,consol_Map!B:B,consol_Map!C:C,"",0)</f>
        <v>General and administrative cost</v>
      </c>
      <c r="B282">
        <v>61700360</v>
      </c>
      <c r="C282" t="s">
        <v>1288</v>
      </c>
      <c r="F282" s="16">
        <f>IFERROR(INDEX('Name Redacted (TB)'!$F:$F,MATCH(B282,'Name Redacted (TB)'!$B:$B,0)),VALUE("0"))</f>
        <v>-378851.75</v>
      </c>
      <c r="H282" s="16">
        <f>IFERROR(SUMIFS('BnC (TB-Dec21)'!J:J,'BnC (TB-Dec21)'!I:I,C282),VALUE("0"))</f>
        <v>0</v>
      </c>
      <c r="J282" s="21">
        <f t="shared" si="20"/>
        <v>-378851.75</v>
      </c>
      <c r="K282" s="83">
        <f>SUMIFS('Consol Entries'!D:D,'Consol Entries'!C:C,C282)</f>
        <v>0</v>
      </c>
      <c r="L282" s="21">
        <f t="shared" si="19"/>
        <v>-378851.75</v>
      </c>
    </row>
    <row r="283" spans="1:12" x14ac:dyDescent="0.45">
      <c r="A283" t="str">
        <f>_xlfn.XLOOKUP(C283,consol_Map!B:B,consol_Map!C:C,"",0)</f>
        <v>General and administrative cost</v>
      </c>
      <c r="B283">
        <v>61700370</v>
      </c>
      <c r="C283" t="s">
        <v>1289</v>
      </c>
      <c r="F283" s="16">
        <f>IFERROR(INDEX('Name Redacted (TB)'!$F:$F,MATCH(B283,'Name Redacted (TB)'!$B:$B,0)),VALUE("0"))</f>
        <v>480357.66</v>
      </c>
      <c r="H283" s="16">
        <f>IFERROR(SUMIFS('BnC (TB-Dec21)'!J:J,'BnC (TB-Dec21)'!I:I,C283),VALUE("0"))</f>
        <v>0</v>
      </c>
      <c r="J283" s="21">
        <f t="shared" si="20"/>
        <v>480357.66</v>
      </c>
      <c r="K283" s="83">
        <f>SUMIFS('Consol Entries'!D:D,'Consol Entries'!C:C,C283)</f>
        <v>0</v>
      </c>
      <c r="L283" s="21">
        <f t="shared" si="19"/>
        <v>480357.66</v>
      </c>
    </row>
    <row r="284" spans="1:12" x14ac:dyDescent="0.45">
      <c r="A284" t="str">
        <f>_xlfn.XLOOKUP(C284,consol_Map!B:B,consol_Map!C:C,"",0)</f>
        <v>General and administrative cost</v>
      </c>
      <c r="B284">
        <v>61700380</v>
      </c>
      <c r="C284" t="s">
        <v>1290</v>
      </c>
      <c r="F284" s="16">
        <f>IFERROR(INDEX('Name Redacted (TB)'!$F:$F,MATCH(B284,'Name Redacted (TB)'!$B:$B,0)),VALUE("0"))</f>
        <v>31433.179999999993</v>
      </c>
      <c r="H284" s="16">
        <f>IFERROR(SUMIFS('BnC (TB-Dec21)'!J:J,'BnC (TB-Dec21)'!I:I,C284),VALUE("0"))</f>
        <v>0</v>
      </c>
      <c r="J284" s="21">
        <f t="shared" si="20"/>
        <v>31433.179999999993</v>
      </c>
      <c r="K284" s="83">
        <f>SUMIFS('Consol Entries'!D:D,'Consol Entries'!C:C,C284)</f>
        <v>0</v>
      </c>
      <c r="L284" s="21">
        <f t="shared" si="19"/>
        <v>31433.179999999993</v>
      </c>
    </row>
    <row r="285" spans="1:12" x14ac:dyDescent="0.45">
      <c r="A285" t="str">
        <f>_xlfn.XLOOKUP(C285,consol_Map!B:B,consol_Map!C:C,"",0)</f>
        <v>General and administrative cost</v>
      </c>
      <c r="B285">
        <v>61700390</v>
      </c>
      <c r="C285" t="s">
        <v>1291</v>
      </c>
      <c r="F285" s="16">
        <f>IFERROR(INDEX('Name Redacted (TB)'!$F:$F,MATCH(B285,'Name Redacted (TB)'!$B:$B,0)),VALUE("0"))</f>
        <v>471621.58</v>
      </c>
      <c r="H285" s="16">
        <f>IFERROR(SUMIFS('BnC (TB-Dec21)'!J:J,'BnC (TB-Dec21)'!I:I,C285),VALUE("0"))</f>
        <v>0</v>
      </c>
      <c r="J285" s="21">
        <f t="shared" si="20"/>
        <v>471621.58</v>
      </c>
      <c r="K285" s="83">
        <f>SUMIFS('Consol Entries'!D:D,'Consol Entries'!C:C,C285)</f>
        <v>0</v>
      </c>
      <c r="L285" s="21">
        <f t="shared" si="19"/>
        <v>471621.58</v>
      </c>
    </row>
    <row r="286" spans="1:12" x14ac:dyDescent="0.45">
      <c r="A286" t="str">
        <f>_xlfn.XLOOKUP(C286,consol_Map!B:B,consol_Map!C:C,"",0)</f>
        <v>General and administrative cost</v>
      </c>
      <c r="B286">
        <v>61700410</v>
      </c>
      <c r="C286" t="s">
        <v>1292</v>
      </c>
      <c r="F286" s="16">
        <f>IFERROR(INDEX('Name Redacted (TB)'!$F:$F,MATCH(B286,'Name Redacted (TB)'!$B:$B,0)),VALUE("0"))</f>
        <v>6410.5999999999767</v>
      </c>
      <c r="H286" s="16">
        <f>IFERROR(SUMIFS('BnC (TB-Dec21)'!J:J,'BnC (TB-Dec21)'!I:I,C286),VALUE("0"))</f>
        <v>0</v>
      </c>
      <c r="J286" s="21">
        <f t="shared" si="20"/>
        <v>6410.5999999999767</v>
      </c>
      <c r="K286" s="83">
        <f>SUMIFS('Consol Entries'!D:D,'Consol Entries'!C:C,C286)</f>
        <v>0</v>
      </c>
      <c r="L286" s="21">
        <f t="shared" si="19"/>
        <v>6410.5999999999767</v>
      </c>
    </row>
    <row r="287" spans="1:12" x14ac:dyDescent="0.45">
      <c r="A287" t="str">
        <f>_xlfn.XLOOKUP(C287,consol_Map!B:B,consol_Map!C:C,"",0)</f>
        <v>General and administrative cost</v>
      </c>
      <c r="B287">
        <v>61700420</v>
      </c>
      <c r="C287" t="s">
        <v>1293</v>
      </c>
      <c r="F287" s="16">
        <f>IFERROR(INDEX('Name Redacted (TB)'!$F:$F,MATCH(B287,'Name Redacted (TB)'!$B:$B,0)),VALUE("0"))</f>
        <v>-441586.19</v>
      </c>
      <c r="H287" s="16">
        <f>IFERROR(SUMIFS('BnC (TB-Dec21)'!J:J,'BnC (TB-Dec21)'!I:I,C287),VALUE("0"))</f>
        <v>0</v>
      </c>
      <c r="J287" s="21">
        <f t="shared" si="20"/>
        <v>-441586.19</v>
      </c>
      <c r="K287" s="83">
        <f>SUMIFS('Consol Entries'!D:D,'Consol Entries'!C:C,C287)</f>
        <v>0</v>
      </c>
      <c r="L287" s="21">
        <f t="shared" si="19"/>
        <v>-441586.19</v>
      </c>
    </row>
    <row r="288" spans="1:12" x14ac:dyDescent="0.45">
      <c r="A288" t="str">
        <f>_xlfn.XLOOKUP(C288,consol_Map!B:B,consol_Map!C:C,"",0)</f>
        <v>General and administrative cost</v>
      </c>
      <c r="B288">
        <v>61700430</v>
      </c>
      <c r="C288" t="s">
        <v>1294</v>
      </c>
      <c r="F288" s="16">
        <f>IFERROR(INDEX('Name Redacted (TB)'!$F:$F,MATCH(B288,'Name Redacted (TB)'!$B:$B,0)),VALUE("0"))</f>
        <v>467418.5</v>
      </c>
      <c r="H288" s="16">
        <f>IFERROR(SUMIFS('BnC (TB-Dec21)'!J:J,'BnC (TB-Dec21)'!I:I,C288),VALUE("0"))</f>
        <v>0</v>
      </c>
      <c r="J288" s="21">
        <f t="shared" si="20"/>
        <v>467418.5</v>
      </c>
      <c r="K288" s="83">
        <f>SUMIFS('Consol Entries'!D:D,'Consol Entries'!C:C,C288)</f>
        <v>0</v>
      </c>
      <c r="L288" s="21">
        <f t="shared" si="19"/>
        <v>467418.5</v>
      </c>
    </row>
    <row r="289" spans="1:12" x14ac:dyDescent="0.45">
      <c r="A289" t="str">
        <f>_xlfn.XLOOKUP(C289,consol_Map!B:B,consol_Map!C:C,"",0)</f>
        <v>General and administrative cost</v>
      </c>
      <c r="B289">
        <v>61700440</v>
      </c>
      <c r="C289" t="s">
        <v>1295</v>
      </c>
      <c r="F289" s="16">
        <f>IFERROR(INDEX('Name Redacted (TB)'!$F:$F,MATCH(B289,'Name Redacted (TB)'!$B:$B,0)),VALUE("0"))</f>
        <v>-437213.17</v>
      </c>
      <c r="H289" s="16">
        <f>IFERROR(SUMIFS('BnC (TB-Dec21)'!J:J,'BnC (TB-Dec21)'!I:I,C289),VALUE("0"))</f>
        <v>0</v>
      </c>
      <c r="J289" s="21">
        <f t="shared" si="20"/>
        <v>-437213.17</v>
      </c>
      <c r="K289" s="83">
        <f>SUMIFS('Consol Entries'!D:D,'Consol Entries'!C:C,C289)</f>
        <v>0</v>
      </c>
      <c r="L289" s="21">
        <f t="shared" si="19"/>
        <v>-437213.17</v>
      </c>
    </row>
    <row r="290" spans="1:12" x14ac:dyDescent="0.45">
      <c r="A290" t="str">
        <f>_xlfn.XLOOKUP(C290,consol_Map!B:B,consol_Map!C:C,"",0)</f>
        <v>General and administrative cost</v>
      </c>
      <c r="B290">
        <v>61700460</v>
      </c>
      <c r="C290" t="s">
        <v>1296</v>
      </c>
      <c r="F290" s="16">
        <f>IFERROR(INDEX('Name Redacted (TB)'!$F:$F,MATCH(B290,'Name Redacted (TB)'!$B:$B,0)),VALUE("0"))</f>
        <v>463180.2</v>
      </c>
      <c r="H290" s="16">
        <f>IFERROR(SUMIFS('BnC (TB-Dec21)'!J:J,'BnC (TB-Dec21)'!I:I,C290),VALUE("0"))</f>
        <v>0</v>
      </c>
      <c r="J290" s="21">
        <f t="shared" si="20"/>
        <v>463180.2</v>
      </c>
      <c r="K290" s="83">
        <f>SUMIFS('Consol Entries'!D:D,'Consol Entries'!C:C,C290)</f>
        <v>0</v>
      </c>
      <c r="L290" s="21">
        <f t="shared" si="19"/>
        <v>463180.2</v>
      </c>
    </row>
    <row r="291" spans="1:12" x14ac:dyDescent="0.45">
      <c r="A291" t="str">
        <f>_xlfn.XLOOKUP(C291,consol_Map!B:B,consol_Map!C:C,"",0)</f>
        <v>General and administrative cost</v>
      </c>
      <c r="B291">
        <v>61700490</v>
      </c>
      <c r="C291" t="s">
        <v>1297</v>
      </c>
      <c r="F291" s="16">
        <f>IFERROR(INDEX('Name Redacted (TB)'!$F:$F,MATCH(B291,'Name Redacted (TB)'!$B:$B,0)),VALUE("0"))</f>
        <v>-467398.40000000002</v>
      </c>
      <c r="H291" s="16">
        <f>IFERROR(SUMIFS('BnC (TB-Dec21)'!J:J,'BnC (TB-Dec21)'!I:I,C291),VALUE("0"))</f>
        <v>0</v>
      </c>
      <c r="J291" s="21">
        <f t="shared" si="20"/>
        <v>-467398.40000000002</v>
      </c>
      <c r="K291" s="83">
        <f>SUMIFS('Consol Entries'!D:D,'Consol Entries'!C:C,C291)</f>
        <v>0</v>
      </c>
      <c r="L291" s="21">
        <f t="shared" si="19"/>
        <v>-467398.40000000002</v>
      </c>
    </row>
    <row r="292" spans="1:12" x14ac:dyDescent="0.45">
      <c r="A292" t="str">
        <f>_xlfn.XLOOKUP(C292,consol_Map!B:B,consol_Map!C:C,"",0)</f>
        <v>General and administrative cost</v>
      </c>
      <c r="B292">
        <v>61700500</v>
      </c>
      <c r="C292" t="s">
        <v>1298</v>
      </c>
      <c r="F292" s="16">
        <f>IFERROR(INDEX('Name Redacted (TB)'!$F:$F,MATCH(B292,'Name Redacted (TB)'!$B:$B,0)),VALUE("0"))</f>
        <v>459439.83</v>
      </c>
      <c r="H292" s="16">
        <f>IFERROR(SUMIFS('BnC (TB-Dec21)'!J:J,'BnC (TB-Dec21)'!I:I,C292),VALUE("0"))</f>
        <v>0</v>
      </c>
      <c r="J292" s="21">
        <f t="shared" si="20"/>
        <v>459439.83</v>
      </c>
      <c r="K292" s="83">
        <f>SUMIFS('Consol Entries'!D:D,'Consol Entries'!C:C,C292)</f>
        <v>0</v>
      </c>
      <c r="L292" s="21">
        <f t="shared" si="19"/>
        <v>459439.83</v>
      </c>
    </row>
    <row r="293" spans="1:12" x14ac:dyDescent="0.45">
      <c r="A293" t="str">
        <f>_xlfn.XLOOKUP(C293,consol_Map!B:B,consol_Map!C:C,"",0)</f>
        <v>General and administrative cost</v>
      </c>
      <c r="B293">
        <v>61700510</v>
      </c>
      <c r="C293" t="s">
        <v>1299</v>
      </c>
      <c r="F293" s="16">
        <f>IFERROR(INDEX('Name Redacted (TB)'!$F:$F,MATCH(B293,'Name Redacted (TB)'!$B:$B,0)),VALUE("0"))</f>
        <v>-456179</v>
      </c>
      <c r="H293" s="16">
        <f>IFERROR(SUMIFS('BnC (TB-Dec21)'!J:J,'BnC (TB-Dec21)'!I:I,C293),VALUE("0"))</f>
        <v>0</v>
      </c>
      <c r="J293" s="21">
        <f t="shared" si="20"/>
        <v>-456179</v>
      </c>
      <c r="K293" s="83">
        <f>SUMIFS('Consol Entries'!D:D,'Consol Entries'!C:C,C293)</f>
        <v>0</v>
      </c>
      <c r="L293" s="21">
        <f t="shared" si="19"/>
        <v>-456179</v>
      </c>
    </row>
    <row r="294" spans="1:12" x14ac:dyDescent="0.45">
      <c r="A294" t="str">
        <f>_xlfn.XLOOKUP(C294,consol_Map!B:B,consol_Map!C:C,"",0)</f>
        <v>General and administrative cost</v>
      </c>
      <c r="B294">
        <v>61700520</v>
      </c>
      <c r="C294" t="s">
        <v>1300</v>
      </c>
      <c r="F294" s="16">
        <f>IFERROR(INDEX('Name Redacted (TB)'!$F:$F,MATCH(B294,'Name Redacted (TB)'!$B:$B,0)),VALUE("0"))</f>
        <v>517880.73</v>
      </c>
      <c r="H294" s="16">
        <f>IFERROR(SUMIFS('BnC (TB-Dec21)'!J:J,'BnC (TB-Dec21)'!I:I,C294),VALUE("0"))</f>
        <v>0</v>
      </c>
      <c r="J294" s="21">
        <f t="shared" si="20"/>
        <v>517880.73</v>
      </c>
      <c r="K294" s="83">
        <f>SUMIFS('Consol Entries'!D:D,'Consol Entries'!C:C,C294)</f>
        <v>0</v>
      </c>
      <c r="L294" s="21">
        <f t="shared" si="19"/>
        <v>517880.73</v>
      </c>
    </row>
    <row r="295" spans="1:12" x14ac:dyDescent="0.45">
      <c r="A295" t="str">
        <f>_xlfn.XLOOKUP(C295,consol_Map!B:B,consol_Map!C:C,"",0)</f>
        <v>General and administrative cost</v>
      </c>
      <c r="B295">
        <v>61700530</v>
      </c>
      <c r="C295" t="s">
        <v>1301</v>
      </c>
      <c r="F295" s="16">
        <f>IFERROR(INDEX('Name Redacted (TB)'!$F:$F,MATCH(B295,'Name Redacted (TB)'!$B:$B,0)),VALUE("0"))</f>
        <v>-412508.25</v>
      </c>
      <c r="H295" s="16">
        <f>IFERROR(SUMIFS('BnC (TB-Dec21)'!J:J,'BnC (TB-Dec21)'!I:I,C295),VALUE("0"))</f>
        <v>0</v>
      </c>
      <c r="J295" s="21">
        <f t="shared" si="20"/>
        <v>-412508.25</v>
      </c>
      <c r="K295" s="83">
        <f>SUMIFS('Consol Entries'!D:D,'Consol Entries'!C:C,C295)</f>
        <v>0</v>
      </c>
      <c r="L295" s="21">
        <f t="shared" si="19"/>
        <v>-412508.25</v>
      </c>
    </row>
    <row r="296" spans="1:12" x14ac:dyDescent="0.45">
      <c r="A296" t="str">
        <f>_xlfn.XLOOKUP(C296,consol_Map!B:B,consol_Map!C:C,"",0)</f>
        <v>General and administrative cost</v>
      </c>
      <c r="B296">
        <v>61700540</v>
      </c>
      <c r="C296" t="s">
        <v>1302</v>
      </c>
      <c r="F296" s="16">
        <f>IFERROR(INDEX('Name Redacted (TB)'!$F:$F,MATCH(B296,'Name Redacted (TB)'!$B:$B,0)),VALUE("0"))</f>
        <v>459796.39</v>
      </c>
      <c r="H296" s="16">
        <f>IFERROR(SUMIFS('BnC (TB-Dec21)'!J:J,'BnC (TB-Dec21)'!I:I,C296),VALUE("0"))</f>
        <v>0</v>
      </c>
      <c r="J296" s="21">
        <f t="shared" si="20"/>
        <v>459796.39</v>
      </c>
      <c r="K296" s="83">
        <f>SUMIFS('Consol Entries'!D:D,'Consol Entries'!C:C,C296)</f>
        <v>0</v>
      </c>
      <c r="L296" s="21">
        <f t="shared" si="19"/>
        <v>459796.39</v>
      </c>
    </row>
    <row r="297" spans="1:12" x14ac:dyDescent="0.45">
      <c r="A297" t="str">
        <f>_xlfn.XLOOKUP(C297,consol_Map!B:B,consol_Map!C:C,"",0)</f>
        <v>General and administrative cost</v>
      </c>
      <c r="B297">
        <v>61700580</v>
      </c>
      <c r="C297" t="s">
        <v>1303</v>
      </c>
      <c r="F297" s="16">
        <f>IFERROR(INDEX('Name Redacted (TB)'!$F:$F,MATCH(B297,'Name Redacted (TB)'!$B:$B,0)),VALUE("0"))</f>
        <v>-414556.31</v>
      </c>
      <c r="H297" s="16">
        <f>IFERROR(SUMIFS('BnC (TB-Dec21)'!J:J,'BnC (TB-Dec21)'!I:I,C297),VALUE("0"))</f>
        <v>0</v>
      </c>
      <c r="J297" s="21">
        <f t="shared" si="20"/>
        <v>-414556.31</v>
      </c>
      <c r="K297" s="83">
        <f>SUMIFS('Consol Entries'!D:D,'Consol Entries'!C:C,C297)</f>
        <v>0</v>
      </c>
      <c r="L297" s="21">
        <f t="shared" si="19"/>
        <v>-414556.31</v>
      </c>
    </row>
    <row r="298" spans="1:12" x14ac:dyDescent="0.45">
      <c r="A298" t="str">
        <f>_xlfn.XLOOKUP(C298,consol_Map!B:B,consol_Map!C:C,"",0)</f>
        <v>General and administrative cost</v>
      </c>
      <c r="B298">
        <v>61700590</v>
      </c>
      <c r="C298" t="s">
        <v>1304</v>
      </c>
      <c r="F298" s="16">
        <f>IFERROR(INDEX('Name Redacted (TB)'!$F:$F,MATCH(B298,'Name Redacted (TB)'!$B:$B,0)),VALUE("0"))</f>
        <v>540805.16</v>
      </c>
      <c r="H298" s="16">
        <f>IFERROR(SUMIFS('BnC (TB-Dec21)'!J:J,'BnC (TB-Dec21)'!I:I,C298),VALUE("0"))</f>
        <v>0</v>
      </c>
      <c r="J298" s="21">
        <f t="shared" si="20"/>
        <v>540805.16</v>
      </c>
      <c r="K298" s="83">
        <f>SUMIFS('Consol Entries'!D:D,'Consol Entries'!C:C,C298)</f>
        <v>0</v>
      </c>
      <c r="L298" s="21">
        <f t="shared" si="19"/>
        <v>540805.16</v>
      </c>
    </row>
    <row r="299" spans="1:12" x14ac:dyDescent="0.45">
      <c r="A299" t="str">
        <f>_xlfn.XLOOKUP(C299,consol_Map!B:B,consol_Map!C:C,"",0)</f>
        <v>General and administrative cost</v>
      </c>
      <c r="C299" t="s">
        <v>1334</v>
      </c>
      <c r="F299" s="16">
        <f>IFERROR(INDEX('Name Redacted (TB)'!$F:$F,MATCH(B299,'Name Redacted (TB)'!$B:$B,0)),VALUE("0"))</f>
        <v>0</v>
      </c>
      <c r="H299" s="16">
        <f>IFERROR(SUMIFS('BnC (TB-Dec21)'!J:J,'BnC (TB-Dec21)'!I:I,C299),VALUE("0"))</f>
        <v>-443662.09</v>
      </c>
      <c r="J299" s="21">
        <f t="shared" si="20"/>
        <v>-443662.09</v>
      </c>
      <c r="K299" s="83">
        <f>SUMIFS('Consol Entries'!D:D,'Consol Entries'!C:C,C299)</f>
        <v>0</v>
      </c>
      <c r="L299" s="21">
        <f t="shared" si="19"/>
        <v>-443662.09</v>
      </c>
    </row>
    <row r="300" spans="1:12" x14ac:dyDescent="0.45">
      <c r="A300" t="str">
        <f>_xlfn.XLOOKUP(C300,consol_Map!B:B,consol_Map!C:C,"",0)</f>
        <v>General and administrative cost</v>
      </c>
      <c r="C300" t="s">
        <v>1336</v>
      </c>
      <c r="F300" s="16">
        <f>IFERROR(INDEX('Name Redacted (TB)'!$F:$F,MATCH(B300,'Name Redacted (TB)'!$B:$B,0)),VALUE("0"))</f>
        <v>0</v>
      </c>
      <c r="H300" s="16">
        <f>IFERROR(SUMIFS('BnC (TB-Dec21)'!J:J,'BnC (TB-Dec21)'!I:I,C300),VALUE("0"))</f>
        <v>18355.880000000005</v>
      </c>
      <c r="J300" s="21">
        <f t="shared" si="20"/>
        <v>18355.880000000005</v>
      </c>
      <c r="K300" s="83">
        <f>SUMIFS('Consol Entries'!D:D,'Consol Entries'!C:C,C300)</f>
        <v>0</v>
      </c>
      <c r="L300" s="21">
        <f t="shared" si="19"/>
        <v>18355.880000000005</v>
      </c>
    </row>
    <row r="301" spans="1:12" x14ac:dyDescent="0.45">
      <c r="A301" t="str">
        <f>_xlfn.XLOOKUP(C301,consol_Map!B:B,consol_Map!C:C,"",0)</f>
        <v>General and administrative cost</v>
      </c>
      <c r="C301" t="s">
        <v>1337</v>
      </c>
      <c r="F301" s="16">
        <f>IFERROR(INDEX('Name Redacted (TB)'!$F:$F,MATCH(B301,'Name Redacted (TB)'!$B:$B,0)),VALUE("0"))</f>
        <v>0</v>
      </c>
      <c r="H301" s="16">
        <f>IFERROR(SUMIFS('BnC (TB-Dec21)'!J:J,'BnC (TB-Dec21)'!I:I,C301),VALUE("0"))</f>
        <v>712950.67000000016</v>
      </c>
      <c r="J301" s="21">
        <f t="shared" si="20"/>
        <v>712950.67000000016</v>
      </c>
      <c r="K301" s="83">
        <f>SUMIFS('Consol Entries'!D:D,'Consol Entries'!C:C,C301)</f>
        <v>0</v>
      </c>
      <c r="L301" s="21">
        <f t="shared" si="19"/>
        <v>712950.67000000016</v>
      </c>
    </row>
    <row r="302" spans="1:12" x14ac:dyDescent="0.45">
      <c r="A302" t="str">
        <f>_xlfn.XLOOKUP(C302,consol_Map!B:B,consol_Map!C:C,"",0)</f>
        <v>General and administrative cost</v>
      </c>
      <c r="C302" t="s">
        <v>1338</v>
      </c>
      <c r="F302" s="16">
        <f>IFERROR(INDEX('Name Redacted (TB)'!$F:$F,MATCH(B302,'Name Redacted (TB)'!$B:$B,0)),VALUE("0"))</f>
        <v>0</v>
      </c>
      <c r="H302" s="16">
        <f>IFERROR(SUMIFS('BnC (TB-Dec21)'!J:J,'BnC (TB-Dec21)'!I:I,C302),VALUE("0"))</f>
        <v>-132572.84999999998</v>
      </c>
      <c r="J302" s="21">
        <f t="shared" si="20"/>
        <v>-132572.84999999998</v>
      </c>
      <c r="K302" s="83">
        <f>SUMIFS('Consol Entries'!D:D,'Consol Entries'!C:C,C302)</f>
        <v>0</v>
      </c>
      <c r="L302" s="21">
        <f t="shared" si="19"/>
        <v>-132572.84999999998</v>
      </c>
    </row>
    <row r="303" spans="1:12" x14ac:dyDescent="0.45">
      <c r="A303" t="str">
        <f>_xlfn.XLOOKUP(C303,consol_Map!B:B,consol_Map!C:C,"",0)</f>
        <v>General and administrative cost</v>
      </c>
      <c r="C303" t="s">
        <v>1344</v>
      </c>
      <c r="F303" s="16">
        <f>IFERROR(INDEX('Name Redacted (TB)'!$F:$F,MATCH(B303,'Name Redacted (TB)'!$B:$B,0)),VALUE("0"))</f>
        <v>0</v>
      </c>
      <c r="H303" s="16">
        <f>IFERROR(SUMIFS('BnC (TB-Dec21)'!J:J,'BnC (TB-Dec21)'!I:I,C303),VALUE("0"))</f>
        <v>471664.4</v>
      </c>
      <c r="J303" s="21">
        <f t="shared" si="20"/>
        <v>471664.4</v>
      </c>
      <c r="K303" s="83">
        <f>SUMIFS('Consol Entries'!D:D,'Consol Entries'!C:C,C303)</f>
        <v>0</v>
      </c>
      <c r="L303" s="21">
        <f t="shared" si="19"/>
        <v>471664.4</v>
      </c>
    </row>
    <row r="304" spans="1:12" x14ac:dyDescent="0.45">
      <c r="A304" t="str">
        <f>_xlfn.XLOOKUP(C304,consol_Map!B:B,consol_Map!C:C,"",0)</f>
        <v>General and administrative cost</v>
      </c>
      <c r="C304" t="s">
        <v>1345</v>
      </c>
      <c r="F304" s="16">
        <f>IFERROR(INDEX('Name Redacted (TB)'!$F:$F,MATCH(B304,'Name Redacted (TB)'!$B:$B,0)),VALUE("0"))</f>
        <v>0</v>
      </c>
      <c r="H304" s="16">
        <f>IFERROR(SUMIFS('BnC (TB-Dec21)'!J:J,'BnC (TB-Dec21)'!I:I,C304),VALUE("0"))</f>
        <v>-457639.76</v>
      </c>
      <c r="J304" s="21">
        <f t="shared" si="20"/>
        <v>-457639.76</v>
      </c>
      <c r="K304" s="83">
        <f>SUMIFS('Consol Entries'!D:D,'Consol Entries'!C:C,C304)</f>
        <v>0</v>
      </c>
      <c r="L304" s="21">
        <f t="shared" si="19"/>
        <v>-457639.76</v>
      </c>
    </row>
    <row r="305" spans="1:12" x14ac:dyDescent="0.45">
      <c r="A305" t="str">
        <f>_xlfn.XLOOKUP(C305,consol_Map!B:B,consol_Map!C:C,"",0)</f>
        <v>General and administrative cost</v>
      </c>
      <c r="C305" t="s">
        <v>1346</v>
      </c>
      <c r="F305" s="16">
        <f>IFERROR(INDEX('Name Redacted (TB)'!$F:$F,MATCH(B305,'Name Redacted (TB)'!$B:$B,0)),VALUE("0"))</f>
        <v>0</v>
      </c>
      <c r="H305" s="16">
        <f>IFERROR(SUMIFS('BnC (TB-Dec21)'!J:J,'BnC (TB-Dec21)'!I:I,C305),VALUE("0"))</f>
        <v>517066.26</v>
      </c>
      <c r="J305" s="21">
        <f t="shared" si="20"/>
        <v>517066.26</v>
      </c>
      <c r="K305" s="83">
        <f>SUMIFS('Consol Entries'!D:D,'Consol Entries'!C:C,C305)</f>
        <v>0</v>
      </c>
      <c r="L305" s="21">
        <f t="shared" si="19"/>
        <v>517066.26</v>
      </c>
    </row>
    <row r="306" spans="1:12" x14ac:dyDescent="0.45">
      <c r="A306" t="str">
        <f>_xlfn.XLOOKUP(C306,consol_Map!B:B,consol_Map!C:C,"",0)</f>
        <v>General and administrative cost</v>
      </c>
      <c r="C306" t="s">
        <v>1348</v>
      </c>
      <c r="F306" s="16">
        <f>IFERROR(INDEX('Name Redacted (TB)'!$F:$F,MATCH(B306,'Name Redacted (TB)'!$B:$B,0)),VALUE("0"))</f>
        <v>0</v>
      </c>
      <c r="H306" s="16">
        <f>IFERROR(SUMIFS('BnC (TB-Dec21)'!J:J,'BnC (TB-Dec21)'!I:I,C306),VALUE("0"))</f>
        <v>-435735.44</v>
      </c>
      <c r="J306" s="21">
        <f t="shared" si="20"/>
        <v>-435735.44</v>
      </c>
      <c r="K306" s="83">
        <f>SUMIFS('Consol Entries'!D:D,'Consol Entries'!C:C,C306)</f>
        <v>0</v>
      </c>
      <c r="L306" s="21">
        <f t="shared" si="19"/>
        <v>-435735.44</v>
      </c>
    </row>
    <row r="307" spans="1:12" x14ac:dyDescent="0.45">
      <c r="A307" t="str">
        <f>_xlfn.XLOOKUP(C307,consol_Map!B:B,consol_Map!C:C,"",0)</f>
        <v>General and administrative cost</v>
      </c>
      <c r="C307" t="s">
        <v>1349</v>
      </c>
      <c r="F307" s="16">
        <f>IFERROR(INDEX('Name Redacted (TB)'!$F:$F,MATCH(B307,'Name Redacted (TB)'!$B:$B,0)),VALUE("0"))</f>
        <v>0</v>
      </c>
      <c r="H307" s="16">
        <f>IFERROR(SUMIFS('BnC (TB-Dec21)'!J:J,'BnC (TB-Dec21)'!I:I,C307),VALUE("0"))</f>
        <v>529335.42000000004</v>
      </c>
      <c r="J307" s="21">
        <f t="shared" si="20"/>
        <v>529335.42000000004</v>
      </c>
      <c r="K307" s="83">
        <f>SUMIFS('Consol Entries'!D:D,'Consol Entries'!C:C,C307)</f>
        <v>0</v>
      </c>
      <c r="L307" s="21">
        <f t="shared" si="19"/>
        <v>529335.42000000004</v>
      </c>
    </row>
    <row r="308" spans="1:12" x14ac:dyDescent="0.45">
      <c r="A308" t="str">
        <f>_xlfn.XLOOKUP(C308,consol_Map!B:B,consol_Map!C:C,"",0)</f>
        <v>General and administrative cost</v>
      </c>
      <c r="C308" t="s">
        <v>1350</v>
      </c>
      <c r="F308" s="16">
        <f>IFERROR(INDEX('Name Redacted (TB)'!$F:$F,MATCH(B308,'Name Redacted (TB)'!$B:$B,0)),VALUE("0"))</f>
        <v>0</v>
      </c>
      <c r="H308" s="16">
        <f>IFERROR(SUMIFS('BnC (TB-Dec21)'!J:J,'BnC (TB-Dec21)'!I:I,C308),VALUE("0"))</f>
        <v>-443644</v>
      </c>
      <c r="J308" s="21">
        <f t="shared" si="20"/>
        <v>-443644</v>
      </c>
      <c r="K308" s="83">
        <f>SUMIFS('Consol Entries'!D:D,'Consol Entries'!C:C,C308)</f>
        <v>0</v>
      </c>
      <c r="L308" s="21">
        <f t="shared" si="19"/>
        <v>-443644</v>
      </c>
    </row>
    <row r="309" spans="1:12" x14ac:dyDescent="0.45">
      <c r="A309" t="str">
        <f>_xlfn.XLOOKUP(C309,consol_Map!B:B,consol_Map!C:C,"",0)</f>
        <v>General and administrative cost</v>
      </c>
      <c r="C309" t="s">
        <v>1351</v>
      </c>
      <c r="F309" s="16">
        <f>IFERROR(INDEX('Name Redacted (TB)'!$F:$F,MATCH(B309,'Name Redacted (TB)'!$B:$B,0)),VALUE("0"))</f>
        <v>0</v>
      </c>
      <c r="H309" s="16">
        <f>IFERROR(SUMIFS('BnC (TB-Dec21)'!J:J,'BnC (TB-Dec21)'!I:I,C309),VALUE("0"))</f>
        <v>609679</v>
      </c>
      <c r="J309" s="21">
        <f t="shared" si="20"/>
        <v>609679</v>
      </c>
      <c r="K309" s="83">
        <f>SUMIFS('Consol Entries'!D:D,'Consol Entries'!C:C,C309)</f>
        <v>0</v>
      </c>
      <c r="L309" s="21">
        <f t="shared" si="19"/>
        <v>609679</v>
      </c>
    </row>
    <row r="310" spans="1:12" x14ac:dyDescent="0.45">
      <c r="A310" t="str">
        <f>_xlfn.XLOOKUP(C310,consol_Map!B:B,consol_Map!C:C,"",0)</f>
        <v>General and administrative cost</v>
      </c>
      <c r="C310" t="s">
        <v>1353</v>
      </c>
      <c r="F310" s="16">
        <f>IFERROR(INDEX('Name Redacted (TB)'!$F:$F,MATCH(B310,'Name Redacted (TB)'!$B:$B,0)),VALUE("0"))</f>
        <v>0</v>
      </c>
      <c r="H310" s="16">
        <f>IFERROR(SUMIFS('BnC (TB-Dec21)'!J:J,'BnC (TB-Dec21)'!I:I,C310),VALUE("0"))</f>
        <v>473122.23</v>
      </c>
      <c r="J310" s="21">
        <f t="shared" si="20"/>
        <v>473122.23</v>
      </c>
      <c r="K310" s="83">
        <f>SUMIFS('Consol Entries'!D:D,'Consol Entries'!C:C,C310)</f>
        <v>0</v>
      </c>
      <c r="L310" s="21">
        <f t="shared" si="19"/>
        <v>473122.23</v>
      </c>
    </row>
    <row r="311" spans="1:12" x14ac:dyDescent="0.45">
      <c r="A311" t="str">
        <f>_xlfn.XLOOKUP(C311,consol_Map!B:B,consol_Map!C:C,"",0)</f>
        <v>General and administrative cost</v>
      </c>
      <c r="C311" t="s">
        <v>1354</v>
      </c>
      <c r="F311" s="16">
        <f>IFERROR(INDEX('Name Redacted (TB)'!$F:$F,MATCH(B311,'Name Redacted (TB)'!$B:$B,0)),VALUE("0"))</f>
        <v>0</v>
      </c>
      <c r="H311" s="16">
        <f>IFERROR(SUMIFS('BnC (TB-Dec21)'!J:J,'BnC (TB-Dec21)'!I:I,C311),VALUE("0"))</f>
        <v>-456379</v>
      </c>
      <c r="J311" s="21">
        <f t="shared" si="20"/>
        <v>-456379</v>
      </c>
      <c r="K311" s="83">
        <f>SUMIFS('Consol Entries'!D:D,'Consol Entries'!C:C,C311)</f>
        <v>0</v>
      </c>
      <c r="L311" s="21">
        <f t="shared" si="19"/>
        <v>-456379</v>
      </c>
    </row>
    <row r="312" spans="1:12" x14ac:dyDescent="0.45">
      <c r="A312" t="str">
        <f>_xlfn.XLOOKUP(C312,consol_Map!B:B,consol_Map!C:C,"",0)</f>
        <v>General and administrative cost</v>
      </c>
      <c r="C312" t="s">
        <v>1378</v>
      </c>
      <c r="F312" s="16">
        <f>IFERROR(INDEX('Name Redacted (TB)'!$F:$F,MATCH(B312,'Name Redacted (TB)'!$B:$B,0)),VALUE("0"))</f>
        <v>0</v>
      </c>
      <c r="H312" s="16">
        <f>IFERROR(SUMIFS('BnC (TB-Dec21)'!J:J,'BnC (TB-Dec21)'!I:I,C312),VALUE("0"))</f>
        <v>-415252.28</v>
      </c>
      <c r="J312" s="21">
        <f t="shared" si="20"/>
        <v>-415252.28</v>
      </c>
      <c r="K312" s="83">
        <f>SUMIFS('Consol Entries'!D:D,'Consol Entries'!C:C,C312)</f>
        <v>0</v>
      </c>
      <c r="L312" s="21">
        <f t="shared" si="19"/>
        <v>-415252.28</v>
      </c>
    </row>
    <row r="313" spans="1:12" x14ac:dyDescent="0.45">
      <c r="A313" t="str">
        <f>_xlfn.XLOOKUP(C313,consol_Map!B:B,consol_Map!C:C,"",0)</f>
        <v>General and administrative cost</v>
      </c>
      <c r="C313" t="s">
        <v>1379</v>
      </c>
      <c r="F313" s="16">
        <f>IFERROR(INDEX('Name Redacted (TB)'!$F:$F,MATCH(B313,'Name Redacted (TB)'!$B:$B,0)),VALUE("0"))</f>
        <v>0</v>
      </c>
      <c r="H313" s="16">
        <f>IFERROR(SUMIFS('BnC (TB-Dec21)'!J:J,'BnC (TB-Dec21)'!I:I,C313),VALUE("0"))</f>
        <v>463451.86</v>
      </c>
      <c r="J313" s="21">
        <f t="shared" si="20"/>
        <v>463451.86</v>
      </c>
      <c r="K313" s="83">
        <f>SUMIFS('Consol Entries'!D:D,'Consol Entries'!C:C,C313)</f>
        <v>0</v>
      </c>
      <c r="L313" s="21">
        <f t="shared" si="19"/>
        <v>463451.86</v>
      </c>
    </row>
    <row r="314" spans="1:12" x14ac:dyDescent="0.45">
      <c r="A314" t="str">
        <f>_xlfn.XLOOKUP(C314,consol_Map!B:B,consol_Map!C:C,"",0)</f>
        <v>General and administrative cost</v>
      </c>
      <c r="C314" t="s">
        <v>1380</v>
      </c>
      <c r="F314" s="16">
        <f>IFERROR(INDEX('Name Redacted (TB)'!$F:$F,MATCH(B314,'Name Redacted (TB)'!$B:$B,0)),VALUE("0"))</f>
        <v>0</v>
      </c>
      <c r="H314" s="16">
        <f>IFERROR(SUMIFS('BnC (TB-Dec21)'!J:J,'BnC (TB-Dec21)'!I:I,C314),VALUE("0"))</f>
        <v>-452639.44</v>
      </c>
      <c r="J314" s="21">
        <f t="shared" si="20"/>
        <v>-452639.44</v>
      </c>
      <c r="K314" s="83">
        <f>SUMIFS('Consol Entries'!D:D,'Consol Entries'!C:C,C314)</f>
        <v>0</v>
      </c>
      <c r="L314" s="21">
        <f t="shared" si="19"/>
        <v>-452639.44</v>
      </c>
    </row>
    <row r="315" spans="1:12" x14ac:dyDescent="0.45">
      <c r="A315" t="str">
        <f>_xlfn.XLOOKUP(C315,consol_Map!B:B,consol_Map!C:C,"",0)</f>
        <v>General and administrative cost</v>
      </c>
      <c r="C315" t="s">
        <v>1654</v>
      </c>
      <c r="F315" s="16">
        <f>IFERROR(INDEX('Name Redacted (TB)'!$F:$F,MATCH(B315,'Name Redacted (TB)'!$B:$B,0)),VALUE("0"))</f>
        <v>0</v>
      </c>
      <c r="H315" s="16">
        <f>IFERROR(SUMIFS('BnC (TB-Dec21)'!J:J,'BnC (TB-Dec21)'!I:I,C315),VALUE("0"))</f>
        <v>462472.72</v>
      </c>
      <c r="J315" s="21">
        <f t="shared" ref="J315" si="21">F315+H315</f>
        <v>462472.72</v>
      </c>
      <c r="K315" s="83">
        <f>SUMIFS('Consol Entries'!D:D,'Consol Entries'!C:C,C315)</f>
        <v>0</v>
      </c>
      <c r="L315" s="21">
        <f t="shared" ref="L315" si="22">SUM(J315:K315)</f>
        <v>462472.72</v>
      </c>
    </row>
    <row r="316" spans="1:12" x14ac:dyDescent="0.45">
      <c r="A316" t="str">
        <f>_xlfn.XLOOKUP(C316,consol_Map!B:B,consol_Map!C:C,"",0)</f>
        <v>General and administrative cost</v>
      </c>
      <c r="C316" t="s">
        <v>1357</v>
      </c>
      <c r="F316" s="16">
        <f>IFERROR(INDEX('Name Redacted (TB)'!$F:$F,MATCH(B316,'Name Redacted (TB)'!$B:$B,0)),VALUE("0"))</f>
        <v>0</v>
      </c>
      <c r="H316" s="16">
        <f>IFERROR(SUMIFS('BnC (TB-Dec21)'!J:J,'BnC (TB-Dec21)'!I:I,C316),VALUE("0"))</f>
        <v>15051.1700000001</v>
      </c>
      <c r="J316" s="21">
        <f t="shared" si="20"/>
        <v>15051.1700000001</v>
      </c>
      <c r="K316" s="83">
        <f>SUMIFS('Consol Entries'!D:D,'Consol Entries'!C:C,C316)</f>
        <v>0</v>
      </c>
      <c r="L316" s="21">
        <f t="shared" si="19"/>
        <v>15051.1700000001</v>
      </c>
    </row>
    <row r="317" spans="1:12" x14ac:dyDescent="0.45">
      <c r="A317" t="str">
        <f>_xlfn.XLOOKUP(C317,consol_Map!B:B,consol_Map!C:C,"",0)</f>
        <v>General and administrative cost</v>
      </c>
      <c r="C317" t="s">
        <v>1382</v>
      </c>
      <c r="F317" s="16">
        <f>IFERROR(INDEX('Name Redacted (TB)'!$F:$F,MATCH(B317,'Name Redacted (TB)'!$B:$B,0)),VALUE("0"))</f>
        <v>0</v>
      </c>
      <c r="H317" s="16">
        <f>IFERROR(SUMIFS('BnC (TB-Dec21)'!J:J,'BnC (TB-Dec21)'!I:I,C317),VALUE("0"))</f>
        <v>-433884.78</v>
      </c>
      <c r="J317" s="21">
        <f t="shared" si="20"/>
        <v>-433884.78</v>
      </c>
      <c r="K317" s="83">
        <f>SUMIFS('Consol Entries'!D:D,'Consol Entries'!C:C,C317)</f>
        <v>0</v>
      </c>
      <c r="L317" s="21">
        <f t="shared" si="19"/>
        <v>-433884.78</v>
      </c>
    </row>
    <row r="318" spans="1:12" x14ac:dyDescent="0.45">
      <c r="A318" t="str">
        <f>_xlfn.XLOOKUP(C318,consol_Map!B:B,consol_Map!C:C,"",0)</f>
        <v>General and administrative cost</v>
      </c>
      <c r="C318" t="s">
        <v>1362</v>
      </c>
      <c r="F318" s="16">
        <f>IFERROR(INDEX('Name Redacted (TB)'!$F:$F,MATCH(B318,'Name Redacted (TB)'!$B:$B,0)),VALUE("0"))</f>
        <v>0</v>
      </c>
      <c r="H318" s="16">
        <f>IFERROR(SUMIFS('BnC (TB-Dec21)'!J:J,'BnC (TB-Dec21)'!I:I,C318),VALUE("0"))</f>
        <v>474310</v>
      </c>
      <c r="J318" s="21">
        <f t="shared" si="20"/>
        <v>474310</v>
      </c>
      <c r="K318" s="83">
        <f>SUMIFS('Consol Entries'!D:D,'Consol Entries'!C:C,C318)</f>
        <v>0</v>
      </c>
      <c r="L318" s="21">
        <f t="shared" si="19"/>
        <v>474310</v>
      </c>
    </row>
    <row r="319" spans="1:12" x14ac:dyDescent="0.45">
      <c r="A319" t="str">
        <f>_xlfn.XLOOKUP(C319,consol_Map!B:B,consol_Map!C:C,"",0)</f>
        <v>General and administrative cost</v>
      </c>
      <c r="C319" t="s">
        <v>1363</v>
      </c>
      <c r="F319" s="16">
        <f>IFERROR(INDEX('Name Redacted (TB)'!$F:$F,MATCH(B319,'Name Redacted (TB)'!$B:$B,0)),VALUE("0"))</f>
        <v>0</v>
      </c>
      <c r="H319" s="16">
        <f>IFERROR(SUMIFS('BnC (TB-Dec21)'!J:J,'BnC (TB-Dec21)'!I:I,C319),VALUE("0"))</f>
        <v>519946.84000000008</v>
      </c>
      <c r="J319" s="21">
        <f t="shared" si="20"/>
        <v>519946.84000000008</v>
      </c>
      <c r="K319" s="83">
        <f>SUMIFS('Consol Entries'!D:D,'Consol Entries'!C:C,C319)</f>
        <v>0</v>
      </c>
      <c r="L319" s="21">
        <f t="shared" si="19"/>
        <v>519946.84000000008</v>
      </c>
    </row>
    <row r="320" spans="1:12" x14ac:dyDescent="0.45">
      <c r="A320" t="str">
        <f>_xlfn.XLOOKUP(C320,consol_Map!B:B,consol_Map!C:C,"",0)</f>
        <v>General and administrative cost</v>
      </c>
      <c r="C320" t="s">
        <v>1372</v>
      </c>
      <c r="F320" s="16">
        <f>IFERROR(INDEX('Name Redacted (TB)'!$F:$F,MATCH(B320,'Name Redacted (TB)'!$B:$B,0)),VALUE("0"))</f>
        <v>0</v>
      </c>
      <c r="H320" s="16">
        <f>IFERROR(SUMIFS('BnC (TB-Dec21)'!J:J,'BnC (TB-Dec21)'!I:I,C320),VALUE("0"))</f>
        <v>-457819</v>
      </c>
      <c r="J320" s="21">
        <f t="shared" si="20"/>
        <v>-457819</v>
      </c>
      <c r="K320" s="83">
        <f>SUMIFS('Consol Entries'!D:D,'Consol Entries'!C:C,C320)</f>
        <v>0</v>
      </c>
      <c r="L320" s="21">
        <f t="shared" si="19"/>
        <v>-457819</v>
      </c>
    </row>
    <row r="321" spans="1:12" x14ac:dyDescent="0.45">
      <c r="A321" t="str">
        <f>_xlfn.XLOOKUP(C321,consol_Map!B:B,consol_Map!C:C,"",0)</f>
        <v>General and administrative cost</v>
      </c>
      <c r="C321" t="s">
        <v>1373</v>
      </c>
      <c r="F321" s="16">
        <f>IFERROR(INDEX('Name Redacted (TB)'!$F:$F,MATCH(B321,'Name Redacted (TB)'!$B:$B,0)),VALUE("0"))</f>
        <v>0</v>
      </c>
      <c r="H321" s="16">
        <f>IFERROR(SUMIFS('BnC (TB-Dec21)'!J:J,'BnC (TB-Dec21)'!I:I,C321),VALUE("0"))</f>
        <v>496246.16000000003</v>
      </c>
      <c r="J321" s="21">
        <f t="shared" si="20"/>
        <v>496246.16000000003</v>
      </c>
      <c r="K321" s="83">
        <f>SUMIFS('Consol Entries'!D:D,'Consol Entries'!C:C,C321)</f>
        <v>0</v>
      </c>
      <c r="L321" s="21">
        <f t="shared" si="19"/>
        <v>496246.16000000003</v>
      </c>
    </row>
    <row r="322" spans="1:12" x14ac:dyDescent="0.45">
      <c r="A322" t="str">
        <f>_xlfn.XLOOKUP(C322,consol_Map!B:B,consol_Map!C:C,"",0)</f>
        <v>General and administrative cost</v>
      </c>
      <c r="C322" t="s">
        <v>1374</v>
      </c>
      <c r="F322" s="16">
        <f>IFERROR(INDEX('Name Redacted (TB)'!$F:$F,MATCH(B322,'Name Redacted (TB)'!$B:$B,0)),VALUE("0"))</f>
        <v>0</v>
      </c>
      <c r="H322" s="16">
        <f>IFERROR(SUMIFS('BnC (TB-Dec21)'!J:J,'BnC (TB-Dec21)'!I:I,C322),VALUE("0"))</f>
        <v>-446498.82</v>
      </c>
      <c r="J322" s="21">
        <f t="shared" si="20"/>
        <v>-446498.82</v>
      </c>
      <c r="K322" s="83">
        <f>SUMIFS('Consol Entries'!D:D,'Consol Entries'!C:C,C322)</f>
        <v>0</v>
      </c>
      <c r="L322" s="21">
        <f t="shared" si="19"/>
        <v>-446498.82</v>
      </c>
    </row>
    <row r="323" spans="1:12" x14ac:dyDescent="0.45">
      <c r="A323" t="str">
        <f>_xlfn.XLOOKUP(C323,consol_Map!B:B,consol_Map!C:C,"",0)</f>
        <v>General and administrative cost</v>
      </c>
      <c r="C323" t="s">
        <v>1375</v>
      </c>
      <c r="F323" s="16">
        <f>IFERROR(INDEX('Name Redacted (TB)'!$F:$F,MATCH(B323,'Name Redacted (TB)'!$B:$B,0)),VALUE("0"))</f>
        <v>0</v>
      </c>
      <c r="H323" s="16">
        <f>IFERROR(SUMIFS('BnC (TB-Dec21)'!J:J,'BnC (TB-Dec21)'!I:I,C323),VALUE("0"))</f>
        <v>532758.06000000006</v>
      </c>
      <c r="J323" s="21">
        <f t="shared" si="20"/>
        <v>532758.06000000006</v>
      </c>
      <c r="K323" s="83">
        <f>SUMIFS('Consol Entries'!D:D,'Consol Entries'!C:C,C323)</f>
        <v>0</v>
      </c>
      <c r="L323" s="21">
        <f t="shared" si="19"/>
        <v>532758.06000000006</v>
      </c>
    </row>
    <row r="324" spans="1:12" x14ac:dyDescent="0.45">
      <c r="A324" t="str">
        <f>_xlfn.XLOOKUP(C324,consol_Map!B:B,consol_Map!C:C,"",0)</f>
        <v>General and administrative cost</v>
      </c>
      <c r="C324" t="s">
        <v>1361</v>
      </c>
      <c r="F324" s="16">
        <f>IFERROR(INDEX('Name Redacted (TB)'!$F:$F,MATCH(B324,'Name Redacted (TB)'!$B:$B,0)),VALUE("0"))</f>
        <v>0</v>
      </c>
      <c r="H324" s="16">
        <f>IFERROR(SUMIFS('BnC (TB-Dec21)'!J:J,'BnC (TB-Dec21)'!I:I,C324),VALUE("0"))</f>
        <v>957469.3</v>
      </c>
      <c r="J324" s="21">
        <f t="shared" si="20"/>
        <v>957469.3</v>
      </c>
      <c r="K324" s="83">
        <f>SUMIFS('Consol Entries'!D:D,'Consol Entries'!C:C,C324)</f>
        <v>0</v>
      </c>
      <c r="L324" s="21">
        <f t="shared" si="19"/>
        <v>957469.3</v>
      </c>
    </row>
    <row r="325" spans="1:12" x14ac:dyDescent="0.45">
      <c r="A325" t="str">
        <f>_xlfn.XLOOKUP(C325,consol_Map!B:B,consol_Map!C:C,"",0)</f>
        <v>General and administrative cost</v>
      </c>
      <c r="C325" t="s">
        <v>1364</v>
      </c>
      <c r="F325" s="16">
        <f>IFERROR(INDEX('Name Redacted (TB)'!$F:$F,MATCH(B325,'Name Redacted (TB)'!$B:$B,0)),VALUE("0"))</f>
        <v>0</v>
      </c>
      <c r="H325" s="16">
        <f>IFERROR(SUMIFS('BnC (TB-Dec21)'!J:J,'BnC (TB-Dec21)'!I:I,C325),VALUE("0"))</f>
        <v>-6715276.4800000004</v>
      </c>
      <c r="J325" s="21">
        <f t="shared" si="20"/>
        <v>-6715276.4800000004</v>
      </c>
      <c r="K325" s="83">
        <f>SUMIFS('Consol Entries'!D:D,'Consol Entries'!C:C,C325)</f>
        <v>0</v>
      </c>
      <c r="L325" s="21">
        <f t="shared" si="19"/>
        <v>-6715276.4800000004</v>
      </c>
    </row>
    <row r="326" spans="1:12" x14ac:dyDescent="0.45">
      <c r="A326" t="str">
        <f>_xlfn.XLOOKUP(C326,consol_Map!B:B,consol_Map!C:C,"",0)</f>
        <v>Depreciation and amortisation</v>
      </c>
      <c r="B326">
        <v>62000020</v>
      </c>
      <c r="C326" t="s">
        <v>1305</v>
      </c>
      <c r="F326" s="16">
        <f>IFERROR(INDEX('Name Redacted (TB)'!$F:$F,MATCH(B326,'Name Redacted (TB)'!$B:$B,0)),VALUE("0"))</f>
        <v>1515904.98</v>
      </c>
      <c r="H326" s="16">
        <f>IFERROR(SUMIFS('BnC (TB-Dec21)'!J:J,'BnC (TB-Dec21)'!I:I,C326),VALUE("0"))</f>
        <v>0</v>
      </c>
      <c r="J326" s="21">
        <f t="shared" si="20"/>
        <v>1515904.98</v>
      </c>
      <c r="K326" s="83">
        <f>SUMIFS('Consol Entries'!D:D,'Consol Entries'!C:C,C326)</f>
        <v>0</v>
      </c>
      <c r="L326" s="21">
        <f t="shared" si="19"/>
        <v>1515904.98</v>
      </c>
    </row>
    <row r="327" spans="1:12" x14ac:dyDescent="0.45">
      <c r="A327" t="str">
        <f>_xlfn.XLOOKUP(C327,consol_Map!B:B,consol_Map!C:C,"",0)</f>
        <v>Depreciation and amortisation</v>
      </c>
      <c r="B327">
        <v>62000030</v>
      </c>
      <c r="C327" t="s">
        <v>1306</v>
      </c>
      <c r="F327" s="16">
        <f>IFERROR(INDEX('Name Redacted (TB)'!$F:$F,MATCH(B327,'Name Redacted (TB)'!$B:$B,0)),VALUE("0"))</f>
        <v>651367.57999999996</v>
      </c>
      <c r="H327" s="16">
        <f>IFERROR(SUMIFS('BnC (TB-Dec21)'!J:J,'BnC (TB-Dec21)'!I:I,C327),VALUE("0"))</f>
        <v>0</v>
      </c>
      <c r="J327" s="21">
        <f t="shared" si="20"/>
        <v>651367.57999999996</v>
      </c>
      <c r="K327" s="83">
        <f>SUMIFS('Consol Entries'!D:D,'Consol Entries'!C:C,C327)</f>
        <v>0</v>
      </c>
      <c r="L327" s="21">
        <f t="shared" si="19"/>
        <v>651367.57999999996</v>
      </c>
    </row>
    <row r="328" spans="1:12" x14ac:dyDescent="0.45">
      <c r="A328" t="str">
        <f>_xlfn.XLOOKUP(C328,consol_Map!B:B,consol_Map!C:C,"",0)</f>
        <v>Depreciation and amortisation</v>
      </c>
      <c r="B328">
        <v>62000040</v>
      </c>
      <c r="C328" t="s">
        <v>1307</v>
      </c>
      <c r="F328" s="16">
        <f>IFERROR(INDEX('Name Redacted (TB)'!$F:$F,MATCH(B328,'Name Redacted (TB)'!$B:$B,0)),VALUE("0"))</f>
        <v>-327866.90000000002</v>
      </c>
      <c r="H328" s="16">
        <f>IFERROR(SUMIFS('BnC (TB-Dec21)'!J:J,'BnC (TB-Dec21)'!I:I,C328),VALUE("0"))</f>
        <v>0</v>
      </c>
      <c r="J328" s="21">
        <f t="shared" si="20"/>
        <v>-327866.90000000002</v>
      </c>
      <c r="K328" s="83">
        <f>SUMIFS('Consol Entries'!D:D,'Consol Entries'!C:C,C328)</f>
        <v>0</v>
      </c>
      <c r="L328" s="21">
        <f t="shared" si="19"/>
        <v>-327866.90000000002</v>
      </c>
    </row>
    <row r="329" spans="1:12" x14ac:dyDescent="0.45">
      <c r="A329" t="str">
        <f>_xlfn.XLOOKUP(C329,consol_Map!B:B,consol_Map!C:C,"",0)</f>
        <v>Depreciation and amortisation</v>
      </c>
      <c r="B329">
        <v>62000050</v>
      </c>
      <c r="C329" t="s">
        <v>1308</v>
      </c>
      <c r="F329" s="16">
        <f>IFERROR(INDEX('Name Redacted (TB)'!$F:$F,MATCH(B329,'Name Redacted (TB)'!$B:$B,0)),VALUE("0"))</f>
        <v>930664.78</v>
      </c>
      <c r="H329" s="16">
        <f>IFERROR(SUMIFS('BnC (TB-Dec21)'!J:J,'BnC (TB-Dec21)'!I:I,C329),VALUE("0"))</f>
        <v>0</v>
      </c>
      <c r="J329" s="21">
        <f t="shared" si="20"/>
        <v>930664.78</v>
      </c>
      <c r="K329" s="83">
        <f>SUMIFS('Consol Entries'!D:D,'Consol Entries'!C:C,C329)</f>
        <v>0</v>
      </c>
      <c r="L329" s="21">
        <f t="shared" si="19"/>
        <v>930664.78</v>
      </c>
    </row>
    <row r="330" spans="1:12" x14ac:dyDescent="0.45">
      <c r="A330" t="str">
        <f>_xlfn.XLOOKUP(C330,consol_Map!B:B,consol_Map!C:C,"",0)</f>
        <v>Depreciation and amortisation</v>
      </c>
      <c r="B330">
        <v>62000060</v>
      </c>
      <c r="C330" t="s">
        <v>1309</v>
      </c>
      <c r="F330" s="16">
        <f>IFERROR(INDEX('Name Redacted (TB)'!$F:$F,MATCH(B330,'Name Redacted (TB)'!$B:$B,0)),VALUE("0"))</f>
        <v>-443600.14</v>
      </c>
      <c r="H330" s="16">
        <f>IFERROR(SUMIFS('BnC (TB-Dec21)'!J:J,'BnC (TB-Dec21)'!I:I,C330),VALUE("0"))</f>
        <v>0</v>
      </c>
      <c r="J330" s="21">
        <f t="shared" si="20"/>
        <v>-443600.14</v>
      </c>
      <c r="K330" s="83">
        <f>SUMIFS('Consol Entries'!D:D,'Consol Entries'!C:C,C330)</f>
        <v>0</v>
      </c>
      <c r="L330" s="21">
        <f t="shared" si="19"/>
        <v>-443600.14</v>
      </c>
    </row>
    <row r="331" spans="1:12" x14ac:dyDescent="0.45">
      <c r="A331" t="str">
        <f>_xlfn.XLOOKUP(C331,consol_Map!B:B,consol_Map!C:C,"",0)</f>
        <v>Depreciation and amortisation</v>
      </c>
      <c r="C331" t="s">
        <v>1343</v>
      </c>
      <c r="F331" s="16">
        <f>IFERROR(INDEX('Name Redacted (TB)'!$F:$F,MATCH(B331,'Name Redacted (TB)'!$B:$B,0)),VALUE("0"))</f>
        <v>0</v>
      </c>
      <c r="H331" s="16">
        <f>IFERROR(SUMIFS('BnC (TB-Dec21)'!J:J,'BnC (TB-Dec21)'!I:I,C331),VALUE("0"))</f>
        <v>1998915.9000000001</v>
      </c>
      <c r="J331" s="21">
        <f t="shared" si="20"/>
        <v>1998915.9000000001</v>
      </c>
      <c r="K331" s="83">
        <f>SUMIFS('Consol Entries'!D:D,'Consol Entries'!C:C,C331)</f>
        <v>0</v>
      </c>
      <c r="L331" s="21">
        <f t="shared" si="19"/>
        <v>1998915.9000000001</v>
      </c>
    </row>
    <row r="332" spans="1:12" x14ac:dyDescent="0.45">
      <c r="A332" t="str">
        <f>_xlfn.XLOOKUP(C332,consol_Map!B:B,consol_Map!C:C,"",0)</f>
        <v>Depreciation and amortisation</v>
      </c>
      <c r="B332">
        <v>62000090</v>
      </c>
      <c r="C332" t="s">
        <v>1310</v>
      </c>
      <c r="F332" s="16">
        <f>IFERROR(INDEX('Name Redacted (TB)'!$F:$F,MATCH(B332,'Name Redacted (TB)'!$B:$B,0)),VALUE("0"))</f>
        <v>2282223.79</v>
      </c>
      <c r="H332" s="16">
        <f>IFERROR(SUMIFS('BnC (TB-Dec21)'!J:J,'BnC (TB-Dec21)'!I:I,C332),VALUE("0"))</f>
        <v>0</v>
      </c>
      <c r="J332" s="21">
        <f t="shared" si="20"/>
        <v>2282223.79</v>
      </c>
      <c r="K332" s="83">
        <f>SUMIFS('Consol Entries'!D:D,'Consol Entries'!C:C,C332)</f>
        <v>0</v>
      </c>
      <c r="L332" s="21">
        <f t="shared" si="19"/>
        <v>2282223.79</v>
      </c>
    </row>
    <row r="333" spans="1:12" x14ac:dyDescent="0.45">
      <c r="A333" t="str">
        <f>_xlfn.XLOOKUP(C333,consol_Map!B:B,consol_Map!C:C,"",0)</f>
        <v>Interest expense</v>
      </c>
      <c r="B333">
        <v>64000020</v>
      </c>
      <c r="C333" t="s">
        <v>1311</v>
      </c>
      <c r="F333" s="16">
        <f>IFERROR(INDEX('Name Redacted (TB)'!$F:$F,MATCH(B333,'Name Redacted (TB)'!$B:$B,0)),VALUE("0"))</f>
        <v>-451838.83</v>
      </c>
      <c r="H333" s="16">
        <f>IFERROR(SUMIFS('BnC (TB-Dec21)'!J:J,'BnC (TB-Dec21)'!I:I,C333),VALUE("0"))</f>
        <v>0</v>
      </c>
      <c r="J333" s="21">
        <f t="shared" si="20"/>
        <v>-451838.83</v>
      </c>
      <c r="K333" s="83">
        <f>SUMIFS('Consol Entries'!D:D,'Consol Entries'!C:C,C333)</f>
        <v>0</v>
      </c>
      <c r="L333" s="21">
        <f t="shared" si="19"/>
        <v>-451838.83</v>
      </c>
    </row>
    <row r="334" spans="1:12" x14ac:dyDescent="0.45">
      <c r="A334" t="str">
        <f>_xlfn.XLOOKUP(C334,consol_Map!B:B,consol_Map!C:C,"",0)</f>
        <v>Interest expense</v>
      </c>
      <c r="B334">
        <v>64000040</v>
      </c>
      <c r="C334" t="s">
        <v>1312</v>
      </c>
      <c r="F334" s="16">
        <f>IFERROR(INDEX('Name Redacted (TB)'!$F:$F,MATCH(B334,'Name Redacted (TB)'!$B:$B,0)),VALUE("0"))</f>
        <v>477333.79</v>
      </c>
      <c r="H334" s="16">
        <f>IFERROR(SUMIFS('BnC (TB-Dec21)'!J:J,'BnC (TB-Dec21)'!I:I,C334),VALUE("0"))</f>
        <v>0</v>
      </c>
      <c r="J334" s="21">
        <f t="shared" si="20"/>
        <v>477333.79</v>
      </c>
      <c r="K334" s="83">
        <f>SUMIFS('Consol Entries'!D:D,'Consol Entries'!C:C,C334)</f>
        <v>0</v>
      </c>
      <c r="L334" s="21">
        <f t="shared" ref="L334:L351" si="23">SUM(J334:K334)</f>
        <v>477333.79</v>
      </c>
    </row>
    <row r="335" spans="1:12" x14ac:dyDescent="0.45">
      <c r="A335" t="str">
        <f>_xlfn.XLOOKUP(C335,consol_Map!B:B,consol_Map!C:C,"",0)</f>
        <v>Interest expense</v>
      </c>
      <c r="B335">
        <v>64000050</v>
      </c>
      <c r="C335" t="s">
        <v>1313</v>
      </c>
      <c r="F335" s="16">
        <f>IFERROR(INDEX('Name Redacted (TB)'!$F:$F,MATCH(B335,'Name Redacted (TB)'!$B:$B,0)),VALUE("0"))</f>
        <v>-411807.73</v>
      </c>
      <c r="H335" s="16">
        <f>IFERROR(SUMIFS('BnC (TB-Dec21)'!J:J,'BnC (TB-Dec21)'!I:I,C335),VALUE("0"))</f>
        <v>0</v>
      </c>
      <c r="J335" s="21">
        <f t="shared" si="20"/>
        <v>-411807.73</v>
      </c>
      <c r="K335" s="83">
        <f>SUMIFS('Consol Entries'!D:D,'Consol Entries'!C:C,C335)</f>
        <v>0</v>
      </c>
      <c r="L335" s="21">
        <f t="shared" si="23"/>
        <v>-411807.73</v>
      </c>
    </row>
    <row r="336" spans="1:12" x14ac:dyDescent="0.45">
      <c r="A336" t="str">
        <f>_xlfn.XLOOKUP(C336,consol_Map!B:B,consol_Map!C:C,"",0)</f>
        <v>Interest expense</v>
      </c>
      <c r="B336">
        <v>64000060</v>
      </c>
      <c r="C336" t="s">
        <v>1561</v>
      </c>
      <c r="F336" s="16">
        <f>IFERROR(INDEX('Name Redacted (TB)'!$F:$F,MATCH(B336,'Name Redacted (TB)'!$B:$B,0)),VALUE("0"))</f>
        <v>469692.7</v>
      </c>
      <c r="H336" s="16">
        <f>IFERROR(SUMIFS('BnC (TB-Dec21)'!J:J,'BnC (TB-Dec21)'!I:I,C336),VALUE("0"))</f>
        <v>0</v>
      </c>
      <c r="J336" s="21">
        <f t="shared" ref="J336" si="24">F336+H336</f>
        <v>469692.7</v>
      </c>
      <c r="K336" s="83">
        <f>SUMIFS('Consol Entries'!D:D,'Consol Entries'!C:C,C336)</f>
        <v>0</v>
      </c>
      <c r="L336" s="21">
        <f t="shared" ref="L336" si="25">SUM(J336:K336)</f>
        <v>469692.7</v>
      </c>
    </row>
    <row r="337" spans="1:12" x14ac:dyDescent="0.45">
      <c r="A337" t="str">
        <f>_xlfn.XLOOKUP(C337,consol_Map!B:B,consol_Map!C:C,"",0)</f>
        <v>Interest expense</v>
      </c>
      <c r="C337" t="s">
        <v>1347</v>
      </c>
      <c r="F337" s="16">
        <f>IFERROR(INDEX('Name Redacted (TB)'!$F:$F,MATCH(B337,'Name Redacted (TB)'!$B:$B,0)),VALUE("0"))</f>
        <v>0</v>
      </c>
      <c r="H337" s="16">
        <f>IFERROR(SUMIFS('BnC (TB-Dec21)'!J:J,'BnC (TB-Dec21)'!I:I,C337),VALUE("0"))</f>
        <v>-258885.81</v>
      </c>
      <c r="J337" s="21">
        <f t="shared" si="20"/>
        <v>-258885.81</v>
      </c>
      <c r="K337" s="83">
        <f>SUMIFS('Consol Entries'!D:D,'Consol Entries'!C:C,C337)</f>
        <v>0</v>
      </c>
      <c r="L337" s="21">
        <f t="shared" si="23"/>
        <v>-258885.81</v>
      </c>
    </row>
    <row r="338" spans="1:12" x14ac:dyDescent="0.45">
      <c r="A338" t="str">
        <f>_xlfn.XLOOKUP(C338,consol_Map!B:B,consol_Map!C:C,"",0)</f>
        <v>Other income</v>
      </c>
      <c r="B338">
        <v>71000010</v>
      </c>
      <c r="C338" t="s">
        <v>1314</v>
      </c>
      <c r="F338" s="16">
        <f>IFERROR(INDEX('Name Redacted (TB)'!$F:$F,MATCH(B338,'Name Redacted (TB)'!$B:$B,0)),VALUE("0"))</f>
        <v>-479679</v>
      </c>
      <c r="H338" s="16">
        <f>IFERROR(SUMIFS('BnC (TB-Dec21)'!J:J,'BnC (TB-Dec21)'!I:I,C338),VALUE("0"))</f>
        <v>0</v>
      </c>
      <c r="J338" s="21">
        <f t="shared" ref="J338:J351" si="26">F338+H338</f>
        <v>-479679</v>
      </c>
      <c r="K338" s="83">
        <f>SUMIFS('Consol Entries'!D:D,'Consol Entries'!C:C,C338)</f>
        <v>0</v>
      </c>
      <c r="L338" s="21">
        <f t="shared" si="23"/>
        <v>-479679</v>
      </c>
    </row>
    <row r="339" spans="1:12" x14ac:dyDescent="0.45">
      <c r="A339" t="str">
        <f>_xlfn.XLOOKUP(C339,consol_Map!B:B,consol_Map!C:C,"",0)</f>
        <v>Other income</v>
      </c>
      <c r="B339">
        <v>71000020</v>
      </c>
      <c r="C339" t="s">
        <v>1315</v>
      </c>
      <c r="F339" s="16">
        <f>IFERROR(INDEX('Name Redacted (TB)'!$F:$F,MATCH(B339,'Name Redacted (TB)'!$B:$B,0)),VALUE("0"))</f>
        <v>430987.41</v>
      </c>
      <c r="H339" s="16">
        <f>IFERROR(SUMIFS('BnC (TB-Dec21)'!J:J,'BnC (TB-Dec21)'!I:I,C339),VALUE("0"))</f>
        <v>0</v>
      </c>
      <c r="J339" s="21">
        <f t="shared" si="26"/>
        <v>430987.41</v>
      </c>
      <c r="K339" s="83">
        <f>SUMIFS('Consol Entries'!D:D,'Consol Entries'!C:C,C339)</f>
        <v>0</v>
      </c>
      <c r="L339" s="21">
        <f t="shared" si="23"/>
        <v>430987.41</v>
      </c>
    </row>
    <row r="340" spans="1:12" x14ac:dyDescent="0.45">
      <c r="A340" t="str">
        <f>_xlfn.XLOOKUP(C340,consol_Map!B:B,consol_Map!C:C,"",0)</f>
        <v>Other income</v>
      </c>
      <c r="B340">
        <v>71000040</v>
      </c>
      <c r="C340" t="s">
        <v>1316</v>
      </c>
      <c r="F340" s="16">
        <f>IFERROR(INDEX('Name Redacted (TB)'!$F:$F,MATCH(B340,'Name Redacted (TB)'!$B:$B,0)),VALUE("0"))</f>
        <v>-783544.34000000008</v>
      </c>
      <c r="H340" s="16">
        <f>IFERROR(SUMIFS('BnC (TB-Dec21)'!J:J,'BnC (TB-Dec21)'!I:I,C340),VALUE("0"))</f>
        <v>0</v>
      </c>
      <c r="J340" s="21">
        <f t="shared" si="26"/>
        <v>-783544.34000000008</v>
      </c>
      <c r="K340" s="83">
        <f>SUMIFS('Consol Entries'!D:D,'Consol Entries'!C:C,C340)</f>
        <v>0</v>
      </c>
      <c r="L340" s="21">
        <f t="shared" si="23"/>
        <v>-783544.34000000008</v>
      </c>
    </row>
    <row r="341" spans="1:12" x14ac:dyDescent="0.45">
      <c r="A341" t="str">
        <f>_xlfn.XLOOKUP(C341,consol_Map!B:B,consol_Map!C:C,"",0)</f>
        <v>Other income</v>
      </c>
      <c r="B341">
        <v>73000010</v>
      </c>
      <c r="C341" t="s">
        <v>1317</v>
      </c>
      <c r="F341" s="16">
        <f>IFERROR(INDEX('Name Redacted (TB)'!$F:$F,MATCH(B341,'Name Redacted (TB)'!$B:$B,0)),VALUE("0"))</f>
        <v>-3431339.78</v>
      </c>
      <c r="H341" s="16">
        <f>IFERROR(SUMIFS('BnC (TB-Dec21)'!J:J,'BnC (TB-Dec21)'!I:I,C341),VALUE("0"))</f>
        <v>0</v>
      </c>
      <c r="J341" s="21">
        <f t="shared" si="26"/>
        <v>-3431339.78</v>
      </c>
      <c r="K341" s="83">
        <f>SUMIFS('Consol Entries'!D:D,'Consol Entries'!C:C,C341)</f>
        <v>0</v>
      </c>
      <c r="L341" s="21">
        <f t="shared" si="23"/>
        <v>-3431339.78</v>
      </c>
    </row>
    <row r="342" spans="1:12" x14ac:dyDescent="0.45">
      <c r="A342" t="str">
        <f>_xlfn.XLOOKUP(C342,consol_Map!B:B,consol_Map!C:C,"",0)</f>
        <v>Other income</v>
      </c>
      <c r="B342">
        <v>77000150</v>
      </c>
      <c r="C342" t="s">
        <v>1318</v>
      </c>
      <c r="F342" s="16">
        <f>IFERROR(INDEX('Name Redacted (TB)'!$F:$F,MATCH(B342,'Name Redacted (TB)'!$B:$B,0)),VALUE("0"))</f>
        <v>-466080.24</v>
      </c>
      <c r="H342" s="16">
        <f>IFERROR(SUMIFS('BnC (TB-Dec21)'!J:J,'BnC (TB-Dec21)'!I:I,C342),VALUE("0"))</f>
        <v>0</v>
      </c>
      <c r="J342" s="21">
        <f t="shared" si="26"/>
        <v>-466080.24</v>
      </c>
      <c r="K342" s="83">
        <f>SUMIFS('Consol Entries'!D:D,'Consol Entries'!C:C,C342)</f>
        <v>0</v>
      </c>
      <c r="L342" s="21">
        <f t="shared" si="23"/>
        <v>-466080.24</v>
      </c>
    </row>
    <row r="343" spans="1:12" x14ac:dyDescent="0.45">
      <c r="A343" t="str">
        <f>_xlfn.XLOOKUP(C343,consol_Map!B:B,consol_Map!C:C,"",0)</f>
        <v>Other income</v>
      </c>
      <c r="B343">
        <v>77000180</v>
      </c>
      <c r="C343" t="s">
        <v>1319</v>
      </c>
      <c r="F343" s="16">
        <f>IFERROR(INDEX('Name Redacted (TB)'!$F:$F,MATCH(B343,'Name Redacted (TB)'!$B:$B,0)),VALUE("0"))</f>
        <v>-4261720.75</v>
      </c>
      <c r="H343" s="16">
        <f>IFERROR(SUMIFS('BnC (TB-Dec21)'!J:J,'BnC (TB-Dec21)'!I:I,C343),VALUE("0"))</f>
        <v>0</v>
      </c>
      <c r="J343" s="21">
        <f t="shared" si="26"/>
        <v>-4261720.75</v>
      </c>
      <c r="K343" s="83">
        <f>SUMIFS('Consol Entries'!D:D,'Consol Entries'!C:C,C343)</f>
        <v>0</v>
      </c>
      <c r="L343" s="21">
        <f t="shared" si="23"/>
        <v>-4261720.75</v>
      </c>
    </row>
    <row r="344" spans="1:12" x14ac:dyDescent="0.45">
      <c r="A344" t="str">
        <f>_xlfn.XLOOKUP(C344,consol_Map!B:B,consol_Map!C:C,"",0)</f>
        <v>Other income</v>
      </c>
      <c r="C344" t="s">
        <v>1326</v>
      </c>
      <c r="F344" s="16">
        <f>IFERROR(INDEX('Name Redacted (TB)'!$F:$F,MATCH(B344,'Name Redacted (TB)'!$B:$B,0)),VALUE("0"))</f>
        <v>0</v>
      </c>
      <c r="H344" s="16">
        <f>IFERROR(SUMIFS('BnC (TB-Dec21)'!J:J,'BnC (TB-Dec21)'!I:I,C344),VALUE("0"))</f>
        <v>-1149836.3999999999</v>
      </c>
      <c r="J344" s="21">
        <f t="shared" si="26"/>
        <v>-1149836.3999999999</v>
      </c>
      <c r="K344" s="83">
        <f>SUMIFS('Consol Entries'!D:D,'Consol Entries'!C:C,C344)</f>
        <v>0</v>
      </c>
      <c r="L344" s="21">
        <f t="shared" si="23"/>
        <v>-1149836.3999999999</v>
      </c>
    </row>
    <row r="345" spans="1:12" x14ac:dyDescent="0.45">
      <c r="A345" t="str">
        <f>_xlfn.XLOOKUP(C345,consol_Map!B:B,consol_Map!C:C,"",0)</f>
        <v>Other income</v>
      </c>
      <c r="C345" t="s">
        <v>1328</v>
      </c>
      <c r="F345" s="16">
        <f>IFERROR(INDEX('Name Redacted (TB)'!$F:$F,MATCH(B345,'Name Redacted (TB)'!$B:$B,0)),VALUE("0"))</f>
        <v>0</v>
      </c>
      <c r="H345" s="16">
        <f>IFERROR(SUMIFS('BnC (TB-Dec21)'!J:J,'BnC (TB-Dec21)'!I:I,C345),VALUE("0"))</f>
        <v>-592727.03</v>
      </c>
      <c r="J345" s="21">
        <f t="shared" si="26"/>
        <v>-592727.03</v>
      </c>
      <c r="K345" s="83">
        <f>SUMIFS('Consol Entries'!D:D,'Consol Entries'!C:C,C345)</f>
        <v>133048.03</v>
      </c>
      <c r="L345" s="21">
        <f t="shared" si="23"/>
        <v>-459679</v>
      </c>
    </row>
    <row r="346" spans="1:12" x14ac:dyDescent="0.45">
      <c r="A346" t="str">
        <f>_xlfn.XLOOKUP(C346,consol_Map!B:B,consol_Map!C:C,"",0)</f>
        <v>Other income</v>
      </c>
      <c r="C346" t="s">
        <v>1327</v>
      </c>
      <c r="F346" s="16">
        <f>IFERROR(INDEX('Name Redacted (TB)'!$F:$F,MATCH(B346,'Name Redacted (TB)'!$B:$B,0)),VALUE("0"))</f>
        <v>0</v>
      </c>
      <c r="H346" s="16">
        <f>IFERROR(SUMIFS('BnC (TB-Dec21)'!J:J,'BnC (TB-Dec21)'!I:I,C346),VALUE("0"))</f>
        <v>-687511.54</v>
      </c>
      <c r="J346" s="21">
        <f t="shared" si="26"/>
        <v>-687511.54</v>
      </c>
      <c r="K346" s="83">
        <f>SUMIFS('Consol Entries'!D:D,'Consol Entries'!C:C,C346)</f>
        <v>0</v>
      </c>
      <c r="L346" s="21">
        <f t="shared" si="23"/>
        <v>-687511.54</v>
      </c>
    </row>
    <row r="347" spans="1:12" x14ac:dyDescent="0.45">
      <c r="A347" t="str">
        <f>_xlfn.XLOOKUP(C347,consol_Map!B:B,consol_Map!C:C,"",0)</f>
        <v>Other income</v>
      </c>
      <c r="C347" t="s">
        <v>1329</v>
      </c>
      <c r="F347" s="16">
        <f>IFERROR(INDEX('Name Redacted (TB)'!$F:$F,MATCH(B347,'Name Redacted (TB)'!$B:$B,0)),VALUE("0"))</f>
        <v>0</v>
      </c>
      <c r="H347" s="16">
        <f>IFERROR(SUMIFS('BnC (TB-Dec21)'!J:J,'BnC (TB-Dec21)'!I:I,C347),VALUE("0"))</f>
        <v>-468518.92</v>
      </c>
      <c r="J347" s="21">
        <f t="shared" si="26"/>
        <v>-468518.92</v>
      </c>
      <c r="K347" s="83">
        <f>SUMIFS('Consol Entries'!D:D,'Consol Entries'!C:C,C347)</f>
        <v>0</v>
      </c>
      <c r="L347" s="21">
        <f t="shared" si="23"/>
        <v>-468518.92</v>
      </c>
    </row>
    <row r="348" spans="1:12" x14ac:dyDescent="0.45">
      <c r="A348" t="str">
        <f>_xlfn.XLOOKUP(C348,consol_Map!B:B,consol_Map!C:C,"",0)</f>
        <v>Other income</v>
      </c>
      <c r="C348" t="s">
        <v>1330</v>
      </c>
      <c r="F348" s="16">
        <f>IFERROR(INDEX('Name Redacted (TB)'!$F:$F,MATCH(B348,'Name Redacted (TB)'!$B:$B,0)),VALUE("0"))</f>
        <v>0</v>
      </c>
      <c r="H348" s="16">
        <f>IFERROR(SUMIFS('BnC (TB-Dec21)'!J:J,'BnC (TB-Dec21)'!I:I,C348),VALUE("0"))</f>
        <v>-461525.9</v>
      </c>
      <c r="J348" s="21">
        <f t="shared" si="26"/>
        <v>-461525.9</v>
      </c>
      <c r="K348" s="83">
        <f>SUMIFS('Consol Entries'!D:D,'Consol Entries'!C:C,C348)</f>
        <v>0</v>
      </c>
      <c r="L348" s="21">
        <f t="shared" si="23"/>
        <v>-461525.9</v>
      </c>
    </row>
    <row r="349" spans="1:12" x14ac:dyDescent="0.45">
      <c r="A349" t="str">
        <f>_xlfn.XLOOKUP(C349,consol_Map!B:B,consol_Map!C:C,"",0)</f>
        <v>Other income</v>
      </c>
      <c r="C349" t="s">
        <v>1331</v>
      </c>
      <c r="F349" s="16">
        <f>IFERROR(INDEX('Name Redacted (TB)'!$F:$F,MATCH(B349,'Name Redacted (TB)'!$B:$B,0)),VALUE("0"))</f>
        <v>0</v>
      </c>
      <c r="H349" s="16">
        <f>IFERROR(SUMIFS('BnC (TB-Dec21)'!J:J,'BnC (TB-Dec21)'!I:I,C349),VALUE("0"))</f>
        <v>-468749</v>
      </c>
      <c r="J349" s="21">
        <f t="shared" si="26"/>
        <v>-468749</v>
      </c>
      <c r="K349" s="83">
        <f>SUMIFS('Consol Entries'!D:D,'Consol Entries'!C:C,C349)</f>
        <v>0</v>
      </c>
      <c r="L349" s="21">
        <f t="shared" si="23"/>
        <v>-468749</v>
      </c>
    </row>
    <row r="350" spans="1:12" x14ac:dyDescent="0.45">
      <c r="A350">
        <f>_xlfn.XLOOKUP(C350,consol_Map!B:B,consol_Map!C:C,"",0)</f>
        <v>0</v>
      </c>
      <c r="F350" s="16">
        <f>IFERROR(INDEX('Name Redacted (TB)'!$F:$F,MATCH(B350,'Name Redacted (TB)'!$B:$B,0)),VALUE("0"))</f>
        <v>0</v>
      </c>
      <c r="H350" s="16">
        <f>IFERROR(SUMIFS('BnC (TB-Dec21)'!J:J,'BnC (TB-Dec21)'!I:I,C350),VALUE("0"))</f>
        <v>0</v>
      </c>
      <c r="J350" s="21">
        <f t="shared" ref="J350" si="27">F350+H350</f>
        <v>0</v>
      </c>
      <c r="K350" s="83">
        <f>SUMIFS('Consol Entries'!D:D,'Consol Entries'!C:C,C350)</f>
        <v>0</v>
      </c>
      <c r="L350" s="21">
        <f t="shared" si="23"/>
        <v>0</v>
      </c>
    </row>
    <row r="351" spans="1:12" x14ac:dyDescent="0.45">
      <c r="A351" t="str">
        <f>_xlfn.XLOOKUP(C351,consol_Map!B:B,consol_Map!C:C,"",0)</f>
        <v>Witholding tax</v>
      </c>
      <c r="C351" t="s">
        <v>1381</v>
      </c>
      <c r="F351" s="16">
        <f>IFERROR(INDEX('Name Redacted (TB)'!$F:$F,MATCH(B351,'Name Redacted (TB)'!$B:$B,0)),VALUE("0"))</f>
        <v>0</v>
      </c>
      <c r="H351" s="16">
        <f>IFERROR(SUMIFS('BnC (TB-Dec21)'!J:J,'BnC (TB-Dec21)'!I:I,C351),VALUE("0"))</f>
        <v>9034.2700000000186</v>
      </c>
      <c r="J351" s="21">
        <f t="shared" si="26"/>
        <v>9034.2700000000186</v>
      </c>
      <c r="K351" s="83">
        <f>SUMIFS('Consol Entries'!D:D,'Consol Entries'!C:C,C351)</f>
        <v>0</v>
      </c>
      <c r="L351" s="21">
        <f t="shared" si="23"/>
        <v>9034.2700000000186</v>
      </c>
    </row>
    <row r="352" spans="1:12" x14ac:dyDescent="0.45">
      <c r="A352" t="str">
        <f>_xlfn.XLOOKUP(C352,consol_Map!B:B,consol_Map!C:C,"",0)</f>
        <v>Income Tax</v>
      </c>
      <c r="C352" t="s">
        <v>1712</v>
      </c>
      <c r="F352" s="16">
        <f>IFERROR(INDEX('Name Redacted (TB)'!$F:$F,MATCH(B352,'Name Redacted (TB)'!$B:$B,0)),VALUE("0"))</f>
        <v>0</v>
      </c>
      <c r="H352" s="16">
        <f>IFERROR(SUMIFS('BnC (TB-Dec21)'!J:J,'BnC (TB-Dec21)'!I:I,C352),VALUE("0"))</f>
        <v>1046250.3</v>
      </c>
      <c r="J352" s="21">
        <f t="shared" ref="J352" si="28">F352+H352</f>
        <v>1046250.3</v>
      </c>
      <c r="K352" s="83">
        <f>SUMIFS('Consol Entries'!D:D,'Consol Entries'!C:C,C352)</f>
        <v>0</v>
      </c>
      <c r="L352" s="21">
        <f t="shared" ref="L352" si="29">SUM(J352:K352)</f>
        <v>1046250.3</v>
      </c>
    </row>
    <row r="353" spans="6:12" x14ac:dyDescent="0.45">
      <c r="F353" s="16"/>
      <c r="H353" s="16"/>
    </row>
    <row r="354" spans="6:12" x14ac:dyDescent="0.45">
      <c r="H354" s="16"/>
    </row>
    <row r="355" spans="6:12" ht="14.65" thickBot="1" x14ac:dyDescent="0.5">
      <c r="F355" s="17">
        <f>SUM(F7:F354)</f>
        <v>-1.862645149230957E-9</v>
      </c>
      <c r="H355" s="17">
        <f>SUM(H7:H354)</f>
        <v>-3.4924596548080444E-9</v>
      </c>
      <c r="J355" s="17">
        <f>SUM(J7:J354)</f>
        <v>-8.6147338151931763E-9</v>
      </c>
      <c r="K355" s="17">
        <f t="shared" ref="K355:L355" si="30">SUM(K7:K354)</f>
        <v>-1.076841726899147E-9</v>
      </c>
      <c r="L355" s="17">
        <f t="shared" si="30"/>
        <v>-4.3306499719619751E-8</v>
      </c>
    </row>
  </sheetData>
  <sheetProtection algorithmName="SHA-512" hashValue="runHq7bWYybPS9lb+NqYCIacDy/nbxZZM563gDOROivWPp/+BMc1NOcMgyCX6VYhgPTeWuIg9H978tVSd7QJXA==" saltValue="xYQSV2zicb3ta2G2ZQjFZw==" spinCount="100000" sheet="1" objects="1" scenarios="1" selectLockedCells="1" selectUn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C8793-3BD6-47BF-A9EE-ECA1E4809ADC}">
  <dimension ref="B2:K85"/>
  <sheetViews>
    <sheetView workbookViewId="0">
      <selection activeCell="C1" sqref="C1"/>
    </sheetView>
  </sheetViews>
  <sheetFormatPr defaultRowHeight="14.25" x14ac:dyDescent="0.45"/>
  <cols>
    <col min="3" max="3" width="35.796875" bestFit="1" customWidth="1"/>
    <col min="4" max="4" width="13" bestFit="1" customWidth="1"/>
    <col min="8" max="8" width="17.06640625" customWidth="1"/>
    <col min="9" max="9" width="29.46484375" bestFit="1" customWidth="1"/>
    <col min="10" max="10" width="31.06640625" customWidth="1"/>
    <col min="11" max="11" width="14.06640625" customWidth="1"/>
  </cols>
  <sheetData>
    <row r="2" spans="2:11" ht="14.65" thickBot="1" x14ac:dyDescent="0.5">
      <c r="B2">
        <v>12200010</v>
      </c>
      <c r="C2" t="s">
        <v>1125</v>
      </c>
      <c r="D2" s="24">
        <f>-K6</f>
        <v>-24500000</v>
      </c>
      <c r="I2" s="22" t="s">
        <v>3</v>
      </c>
      <c r="J2" s="23"/>
      <c r="K2" s="23" t="s">
        <v>1433</v>
      </c>
    </row>
    <row r="3" spans="2:11" x14ac:dyDescent="0.45">
      <c r="C3" t="s">
        <v>1384</v>
      </c>
      <c r="D3" s="16">
        <f>-(-724230.77*70%)</f>
        <v>506961.53899999999</v>
      </c>
      <c r="E3" t="s">
        <v>1533</v>
      </c>
      <c r="I3" s="151" t="s">
        <v>1434</v>
      </c>
      <c r="K3" s="24">
        <v>19250000</v>
      </c>
    </row>
    <row r="4" spans="2:11" x14ac:dyDescent="0.45">
      <c r="C4" t="s">
        <v>1384</v>
      </c>
      <c r="D4" s="16">
        <f>-(-724230.77*30%)</f>
        <v>217269.231</v>
      </c>
      <c r="E4" t="s">
        <v>1534</v>
      </c>
      <c r="I4" s="151" t="s">
        <v>1435</v>
      </c>
      <c r="K4" s="24">
        <v>5250000</v>
      </c>
    </row>
    <row r="5" spans="2:11" ht="14.65" thickBot="1" x14ac:dyDescent="0.5">
      <c r="C5" t="s">
        <v>1385</v>
      </c>
      <c r="D5" s="16">
        <f>-(-777158.6*70%)</f>
        <v>544011.0199999999</v>
      </c>
      <c r="E5" t="s">
        <v>1535</v>
      </c>
      <c r="K5" s="12"/>
    </row>
    <row r="6" spans="2:11" x14ac:dyDescent="0.45">
      <c r="C6" t="s">
        <v>1333</v>
      </c>
      <c r="D6" s="16">
        <f>-(500000*70%)</f>
        <v>-350000</v>
      </c>
      <c r="E6" t="s">
        <v>1540</v>
      </c>
      <c r="K6" s="90">
        <v>24500000</v>
      </c>
    </row>
    <row r="7" spans="2:11" x14ac:dyDescent="0.45">
      <c r="C7" t="s">
        <v>1385</v>
      </c>
      <c r="D7" s="16">
        <f>-(-777158.6*30%)</f>
        <v>233147.58</v>
      </c>
      <c r="E7" t="s">
        <v>1536</v>
      </c>
    </row>
    <row r="8" spans="2:11" x14ac:dyDescent="0.45">
      <c r="C8" t="s">
        <v>1333</v>
      </c>
      <c r="D8" s="16">
        <f>-(500000*30%)</f>
        <v>-150000</v>
      </c>
      <c r="E8" t="s">
        <v>1541</v>
      </c>
      <c r="J8" s="88" t="s">
        <v>1543</v>
      </c>
      <c r="K8" s="24">
        <f>-D2</f>
        <v>24500000</v>
      </c>
    </row>
    <row r="9" spans="2:11" x14ac:dyDescent="0.45">
      <c r="C9" t="s">
        <v>1385</v>
      </c>
      <c r="D9" s="16">
        <f>((SUM('BnC Profits Recon'!B5:B14))*70%)</f>
        <v>1479985.703</v>
      </c>
      <c r="E9" t="s">
        <v>1795</v>
      </c>
      <c r="J9" s="91" t="s">
        <v>1544</v>
      </c>
      <c r="K9" s="92">
        <f>K6-K8</f>
        <v>0</v>
      </c>
    </row>
    <row r="10" spans="2:11" x14ac:dyDescent="0.45">
      <c r="C10" t="s">
        <v>1385</v>
      </c>
      <c r="D10" s="16">
        <f>((SUM('BnC Profits Recon'!B5:B14))*30%)</f>
        <v>634279.58699999994</v>
      </c>
      <c r="E10" t="s">
        <v>1796</v>
      </c>
    </row>
    <row r="11" spans="2:11" x14ac:dyDescent="0.45">
      <c r="C11" t="s">
        <v>1537</v>
      </c>
      <c r="D11" s="16">
        <f>'BnC Profits Recon'!B17*30%</f>
        <v>67997.538</v>
      </c>
      <c r="E11" t="s">
        <v>1538</v>
      </c>
      <c r="I11" s="230" t="s">
        <v>1539</v>
      </c>
    </row>
    <row r="12" spans="2:11" x14ac:dyDescent="0.45">
      <c r="C12" t="s">
        <v>1537</v>
      </c>
      <c r="D12" s="16">
        <f>'BnC Profits Recon'!B18*30%</f>
        <v>-199699.23299999998</v>
      </c>
      <c r="E12" t="s">
        <v>1797</v>
      </c>
      <c r="I12" s="85" t="s">
        <v>9</v>
      </c>
      <c r="J12" s="85" t="s">
        <v>10</v>
      </c>
      <c r="K12" s="16">
        <v>724230.77</v>
      </c>
    </row>
    <row r="13" spans="2:11" x14ac:dyDescent="0.45">
      <c r="C13" t="s">
        <v>1532</v>
      </c>
      <c r="D13" s="20">
        <f>-D4-D7-D8-D10-D11-D12</f>
        <v>-802994.70299999998</v>
      </c>
      <c r="I13" t="s">
        <v>11</v>
      </c>
      <c r="J13" t="s">
        <v>12</v>
      </c>
      <c r="K13" s="16">
        <v>777158.6</v>
      </c>
    </row>
    <row r="14" spans="2:11" x14ac:dyDescent="0.45">
      <c r="B14">
        <v>12600010</v>
      </c>
      <c r="C14" t="s">
        <v>1137</v>
      </c>
      <c r="D14" s="24">
        <f>-(D2+D3+D5+D6+D9)</f>
        <v>22319041.737999998</v>
      </c>
      <c r="K14" s="16"/>
    </row>
    <row r="16" spans="2:11" x14ac:dyDescent="0.45">
      <c r="J16" t="s">
        <v>1655</v>
      </c>
      <c r="K16" s="16">
        <f>-'BnC (TB-Dec21)'!D598</f>
        <v>1175259.6400000006</v>
      </c>
    </row>
    <row r="17" spans="9:11" x14ac:dyDescent="0.45">
      <c r="J17" t="s">
        <v>1542</v>
      </c>
      <c r="K17" s="16">
        <f>-'BnC Profits Recon'!B17</f>
        <v>-226658.46</v>
      </c>
    </row>
    <row r="18" spans="9:11" x14ac:dyDescent="0.45">
      <c r="J18" t="s">
        <v>1656</v>
      </c>
      <c r="K18" s="16">
        <f>-'BnC Profits Recon'!B18</f>
        <v>665664.11</v>
      </c>
    </row>
    <row r="20" spans="9:11" x14ac:dyDescent="0.45">
      <c r="K20" s="87">
        <f>SUM(K12:K18)</f>
        <v>3115654.6600000006</v>
      </c>
    </row>
    <row r="22" spans="9:11" x14ac:dyDescent="0.45">
      <c r="J22" s="88" t="s">
        <v>1543</v>
      </c>
      <c r="K22" s="89">
        <f>SUM(D3:D10)</f>
        <v>3115654.6599999997</v>
      </c>
    </row>
    <row r="23" spans="9:11" x14ac:dyDescent="0.45">
      <c r="J23" s="91" t="s">
        <v>1544</v>
      </c>
      <c r="K23" s="92">
        <f>K20-K22</f>
        <v>0</v>
      </c>
    </row>
    <row r="25" spans="9:11" x14ac:dyDescent="0.45">
      <c r="I25" s="230" t="s">
        <v>1545</v>
      </c>
    </row>
    <row r="26" spans="9:11" x14ac:dyDescent="0.45">
      <c r="J26" t="s">
        <v>1547</v>
      </c>
      <c r="K26" s="20">
        <f>-K17</f>
        <v>226658.46</v>
      </c>
    </row>
    <row r="27" spans="9:11" x14ac:dyDescent="0.45">
      <c r="J27" t="s">
        <v>1798</v>
      </c>
      <c r="K27" s="20">
        <f>-K18</f>
        <v>-665664.11</v>
      </c>
    </row>
    <row r="29" spans="9:11" x14ac:dyDescent="0.45">
      <c r="I29" s="37" t="s">
        <v>1546</v>
      </c>
    </row>
    <row r="30" spans="9:11" x14ac:dyDescent="0.45">
      <c r="J30" t="s">
        <v>1548</v>
      </c>
      <c r="K30" s="16">
        <f>(K20+K26+K27)*30%</f>
        <v>802994.70300000021</v>
      </c>
    </row>
    <row r="31" spans="9:11" x14ac:dyDescent="0.45">
      <c r="J31" t="s">
        <v>1549</v>
      </c>
      <c r="K31" s="16">
        <f>-VLOOKUP("Non-Controlling Interest (NCI)",'Consol (TB)'!C:L,10,FALSE)</f>
        <v>802994.70299999998</v>
      </c>
    </row>
    <row r="32" spans="9:11" x14ac:dyDescent="0.45">
      <c r="J32" s="91" t="s">
        <v>1544</v>
      </c>
      <c r="K32" s="92">
        <f>K30-K31</f>
        <v>0</v>
      </c>
    </row>
    <row r="35" spans="9:11" x14ac:dyDescent="0.45">
      <c r="I35" s="37" t="s">
        <v>1550</v>
      </c>
    </row>
    <row r="36" spans="9:11" x14ac:dyDescent="0.45">
      <c r="J36" s="151" t="s">
        <v>1551</v>
      </c>
      <c r="K36" s="16">
        <f>-VLOOKUP("Ordinary Share Capital",'Consol (TB)'!C:L,10,FALSE)</f>
        <v>64463796</v>
      </c>
    </row>
    <row r="37" spans="9:11" x14ac:dyDescent="0.45">
      <c r="J37" s="151" t="s">
        <v>1799</v>
      </c>
      <c r="K37" s="16">
        <f>-VLOOKUP("Preference Share Capital",'Consol (TB)'!C:L,10,FALSE)</f>
        <v>3300334.7</v>
      </c>
    </row>
    <row r="38" spans="9:11" x14ac:dyDescent="0.45">
      <c r="J38" s="151" t="s">
        <v>1552</v>
      </c>
      <c r="K38" s="20">
        <f>-SUM('Consol (TB)'!F123:F353)</f>
        <v>-4473604.2100000028</v>
      </c>
    </row>
    <row r="39" spans="9:11" x14ac:dyDescent="0.45">
      <c r="J39" s="151" t="s">
        <v>1553</v>
      </c>
      <c r="K39" s="20">
        <f>SUM(K26:K27)*70%</f>
        <v>-307303.95500000002</v>
      </c>
    </row>
    <row r="40" spans="9:11" ht="14.65" thickBot="1" x14ac:dyDescent="0.5">
      <c r="K40" s="12"/>
    </row>
    <row r="41" spans="9:11" x14ac:dyDescent="0.45">
      <c r="K41" s="86">
        <f>SUM(K36:K40)</f>
        <v>62983222.535000004</v>
      </c>
    </row>
    <row r="43" spans="9:11" x14ac:dyDescent="0.45">
      <c r="J43" s="88" t="s">
        <v>1554</v>
      </c>
      <c r="K43" s="89">
        <f>-SUM('Consol (TB)'!L121:L353)</f>
        <v>63442901.535000004</v>
      </c>
    </row>
    <row r="44" spans="9:11" x14ac:dyDescent="0.45">
      <c r="J44" s="91" t="s">
        <v>1544</v>
      </c>
      <c r="K44" s="92">
        <f>K41-K43</f>
        <v>-459679</v>
      </c>
    </row>
    <row r="74" spans="2:4" x14ac:dyDescent="0.45">
      <c r="B74">
        <v>41000010</v>
      </c>
      <c r="C74" t="s">
        <v>1160</v>
      </c>
      <c r="D74" s="16">
        <v>257</v>
      </c>
    </row>
    <row r="75" spans="2:4" x14ac:dyDescent="0.45">
      <c r="B75">
        <v>42000010</v>
      </c>
      <c r="C75" t="s">
        <v>1168</v>
      </c>
      <c r="D75" s="16">
        <v>2822.11</v>
      </c>
    </row>
    <row r="76" spans="2:4" x14ac:dyDescent="0.45">
      <c r="C76" t="s">
        <v>1332</v>
      </c>
      <c r="D76" s="16">
        <f>-SUM(D74:D75)</f>
        <v>-3079.11</v>
      </c>
    </row>
    <row r="78" spans="2:4" x14ac:dyDescent="0.45">
      <c r="B78">
        <v>61200050</v>
      </c>
      <c r="C78" t="s">
        <v>1231</v>
      </c>
      <c r="D78" s="16">
        <v>-133048.03</v>
      </c>
    </row>
    <row r="79" spans="2:4" x14ac:dyDescent="0.45">
      <c r="C79" t="s">
        <v>1328</v>
      </c>
      <c r="D79" s="16">
        <v>133048.03</v>
      </c>
    </row>
    <row r="81" spans="2:4" x14ac:dyDescent="0.45">
      <c r="B81">
        <v>11210020</v>
      </c>
      <c r="C81" t="s">
        <v>1101</v>
      </c>
      <c r="D81" s="16">
        <v>-3294.66</v>
      </c>
    </row>
    <row r="82" spans="2:4" x14ac:dyDescent="0.45">
      <c r="C82" t="s">
        <v>1393</v>
      </c>
      <c r="D82" s="16">
        <v>3294.66</v>
      </c>
    </row>
    <row r="84" spans="2:4" x14ac:dyDescent="0.45">
      <c r="C84" t="s">
        <v>1387</v>
      </c>
      <c r="D84" s="16">
        <v>-13683.04</v>
      </c>
    </row>
    <row r="85" spans="2:4" x14ac:dyDescent="0.45">
      <c r="B85">
        <v>21100020</v>
      </c>
      <c r="C85" t="s">
        <v>1141</v>
      </c>
      <c r="D85" s="16">
        <v>13683.04</v>
      </c>
    </row>
  </sheetData>
  <sheetProtection algorithmName="SHA-512" hashValue="JEoTjbBmaKQVn/tH1tLi5G3QolblDxeJxoTJiNA7YTjKsJD5sN2Yp+XmBLdjJEevtcL2AV55cNiLfKl+dLWqgA==" saltValue="nBa3UBgUaU2YOAQcBiDCeg==" spinCount="100000" sheet="1" objects="1" scenarios="1" selectLockedCells="1" selectUnlockedCells="1"/>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93A91-2510-4DAF-8240-5C7499EA74CB}">
  <sheetPr>
    <tabColor theme="8" tint="0.39997558519241921"/>
  </sheetPr>
  <dimension ref="A1:F47"/>
  <sheetViews>
    <sheetView zoomScale="85" zoomScaleNormal="85" workbookViewId="0">
      <selection activeCell="H1" sqref="H1"/>
    </sheetView>
  </sheetViews>
  <sheetFormatPr defaultRowHeight="14.25" x14ac:dyDescent="0.45"/>
  <cols>
    <col min="1" max="1" width="27.53125" bestFit="1" customWidth="1"/>
    <col min="4" max="4" width="15.59765625" bestFit="1" customWidth="1"/>
  </cols>
  <sheetData>
    <row r="1" spans="1:6" ht="25.5" x14ac:dyDescent="0.75">
      <c r="A1" s="226" t="s">
        <v>1684</v>
      </c>
      <c r="B1" s="151"/>
      <c r="C1" s="151"/>
      <c r="D1" s="151"/>
      <c r="F1" s="5"/>
    </row>
    <row r="2" spans="1:6" ht="25.5" x14ac:dyDescent="0.75">
      <c r="A2" s="4"/>
      <c r="F2" s="5"/>
    </row>
    <row r="3" spans="1:6" ht="25.5" x14ac:dyDescent="0.75">
      <c r="A3" s="4"/>
      <c r="B3" s="6" t="s">
        <v>1692</v>
      </c>
      <c r="C3" s="7"/>
      <c r="D3" s="7"/>
      <c r="E3" s="7"/>
      <c r="F3" s="8">
        <v>44531</v>
      </c>
    </row>
    <row r="4" spans="1:6" s="14" customFormat="1" ht="22.5" customHeight="1" x14ac:dyDescent="0.75">
      <c r="A4" s="110"/>
      <c r="B4" s="13"/>
      <c r="D4" s="112">
        <v>2021</v>
      </c>
    </row>
    <row r="5" spans="1:6" s="14" customFormat="1" ht="22.5" customHeight="1" x14ac:dyDescent="0.75">
      <c r="A5" s="110"/>
      <c r="B5" s="13"/>
      <c r="D5" s="112" t="s">
        <v>1686</v>
      </c>
    </row>
    <row r="6" spans="1:6" s="111" customFormat="1" ht="19.5" x14ac:dyDescent="0.45">
      <c r="A6" s="117" t="s">
        <v>1693</v>
      </c>
      <c r="B6" s="13"/>
      <c r="D6" s="112"/>
    </row>
    <row r="7" spans="1:6" s="111" customFormat="1" ht="19.05" customHeight="1" x14ac:dyDescent="0.45">
      <c r="A7" s="117" t="s">
        <v>1694</v>
      </c>
      <c r="B7" s="13"/>
      <c r="D7" s="112"/>
    </row>
    <row r="8" spans="1:6" s="111" customFormat="1" ht="22.5" customHeight="1" x14ac:dyDescent="0.45">
      <c r="A8" s="107" t="s">
        <v>1662</v>
      </c>
      <c r="B8" s="107"/>
      <c r="C8" s="107"/>
      <c r="D8" s="118">
        <f>ROUND(SUMIFS('Consol (TB)'!L:L,'Consol (TB)'!A:A,A8),0)</f>
        <v>7709150</v>
      </c>
    </row>
    <row r="9" spans="1:6" s="111" customFormat="1" ht="22.5" customHeight="1" x14ac:dyDescent="0.45">
      <c r="A9" s="107" t="s">
        <v>1664</v>
      </c>
      <c r="B9" s="107"/>
      <c r="C9" s="107"/>
      <c r="D9" s="118">
        <f>ROUND(SUMIFS('Consol (TB)'!L:L,'Consol (TB)'!A:A,A9),0)</f>
        <v>28738455</v>
      </c>
    </row>
    <row r="10" spans="1:6" s="111" customFormat="1" ht="22.5" customHeight="1" x14ac:dyDescent="0.45">
      <c r="A10" s="107" t="s">
        <v>1663</v>
      </c>
      <c r="B10" s="107"/>
      <c r="C10" s="107"/>
      <c r="D10" s="118">
        <f>ROUND(SUMIFS('Consol (TB)'!L:L,'Consol (TB)'!A:A,A10),0)</f>
        <v>3201304</v>
      </c>
    </row>
    <row r="11" spans="1:6" s="111" customFormat="1" ht="22.5" customHeight="1" x14ac:dyDescent="0.45">
      <c r="A11" s="107" t="s">
        <v>1665</v>
      </c>
      <c r="B11" s="107"/>
      <c r="C11" s="107"/>
      <c r="D11" s="118">
        <f>ROUND(SUMIFS('Consol (TB)'!L:L,'Consol (TB)'!A:A,A11),0)</f>
        <v>40077363</v>
      </c>
    </row>
    <row r="12" spans="1:6" s="111" customFormat="1" ht="19.5" x14ac:dyDescent="0.45">
      <c r="A12" s="117"/>
      <c r="B12" s="13"/>
      <c r="C12" s="121" t="s">
        <v>1696</v>
      </c>
      <c r="D12" s="120">
        <f>SUM(D8:D11)</f>
        <v>79726272</v>
      </c>
    </row>
    <row r="13" spans="1:6" s="111" customFormat="1" ht="19.5" x14ac:dyDescent="0.45">
      <c r="A13" s="117"/>
      <c r="B13" s="13"/>
      <c r="D13" s="112"/>
    </row>
    <row r="14" spans="1:6" s="111" customFormat="1" ht="19.5" x14ac:dyDescent="0.45">
      <c r="A14" s="117" t="s">
        <v>1695</v>
      </c>
      <c r="B14" s="13"/>
      <c r="D14" s="112"/>
    </row>
    <row r="15" spans="1:6" s="111" customFormat="1" x14ac:dyDescent="0.45">
      <c r="A15" s="107" t="s">
        <v>1660</v>
      </c>
      <c r="B15" s="107"/>
      <c r="C15" s="119"/>
      <c r="D15" s="118">
        <f>ROUND(SUMIFS('Consol (TB)'!L:L,'Consol (TB)'!A:A,A15),0)</f>
        <v>-2138188</v>
      </c>
    </row>
    <row r="16" spans="1:6" s="111" customFormat="1" x14ac:dyDescent="0.45">
      <c r="A16" s="107" t="s">
        <v>1659</v>
      </c>
      <c r="B16" s="107"/>
      <c r="C16" s="107"/>
      <c r="D16" s="118">
        <f>ROUND(SUMIFS('Consol (TB)'!L:L,'Consol (TB)'!A:A,A16),0)</f>
        <v>4577235</v>
      </c>
    </row>
    <row r="17" spans="1:4" s="111" customFormat="1" x14ac:dyDescent="0.45">
      <c r="A17" s="107" t="s">
        <v>1118</v>
      </c>
      <c r="B17" s="107"/>
      <c r="C17" s="119"/>
      <c r="D17" s="118">
        <f>ROUND(SUMIFS('Consol (TB)'!L:L,'Consol (TB)'!A:A,A17),0)</f>
        <v>987333</v>
      </c>
    </row>
    <row r="18" spans="1:4" s="107" customFormat="1" x14ac:dyDescent="0.45">
      <c r="A18" s="107" t="s">
        <v>1658</v>
      </c>
      <c r="D18" s="118">
        <f>ROUND(SUMIFS('Consol (TB)'!L:L,'Consol (TB)'!A:A,A18),0)</f>
        <v>13907060</v>
      </c>
    </row>
    <row r="19" spans="1:4" s="107" customFormat="1" x14ac:dyDescent="0.45">
      <c r="C19" s="119" t="s">
        <v>1697</v>
      </c>
      <c r="D19" s="123">
        <f>SUM(D15:D18)</f>
        <v>17333440</v>
      </c>
    </row>
    <row r="20" spans="1:4" s="107" customFormat="1" ht="14" customHeight="1" x14ac:dyDescent="0.45"/>
    <row r="21" spans="1:4" s="107" customFormat="1" ht="14" customHeight="1" thickBot="1" x14ac:dyDescent="0.5">
      <c r="C21" s="119" t="s">
        <v>1698</v>
      </c>
      <c r="D21" s="125">
        <f>SUM(D19,D12)</f>
        <v>97059712</v>
      </c>
    </row>
    <row r="22" spans="1:4" s="107" customFormat="1" x14ac:dyDescent="0.45">
      <c r="D22" s="118"/>
    </row>
    <row r="23" spans="1:4" s="107" customFormat="1" x14ac:dyDescent="0.45">
      <c r="A23" s="124" t="s">
        <v>1699</v>
      </c>
    </row>
    <row r="24" spans="1:4" s="107" customFormat="1" x14ac:dyDescent="0.45">
      <c r="A24" s="124" t="s">
        <v>1700</v>
      </c>
    </row>
    <row r="25" spans="1:4" s="107" customFormat="1" x14ac:dyDescent="0.45">
      <c r="A25" s="107" t="s">
        <v>1672</v>
      </c>
      <c r="D25" s="118">
        <f>-ROUND(SUMIFS('Consol (TB)'!L:L,'Consol (TB)'!A:A,A25),0)</f>
        <v>67764131</v>
      </c>
    </row>
    <row r="26" spans="1:4" s="107" customFormat="1" x14ac:dyDescent="0.45">
      <c r="A26" s="107" t="s">
        <v>1673</v>
      </c>
      <c r="D26" s="118">
        <f>-ROUND(SUMIFS('Consol (TB)'!L:L,'Consol (TB)'!A:A,A26),0)-ROUND(SUMIFS('Consol (TB)'!L:L,'Consol (TB)'!A:A,"Revenue"),0)-ROUND(SUMIFS('Consol (TB)'!L:L,'Consol (TB)'!A:A,"Cost of sales"),0)-ROUND(SUMIFS('Consol (TB)'!L:L,'Consol (TB)'!A:A,"Other income"),0)-ROUND(SUMIFS('Consol (TB)'!L:L,'Consol (TB)'!A:A,"Salaries and payroll expenses"),0)-ROUND(SUMIFS('Consol (TB)'!L:L,'Consol (TB)'!A:A,"Selling and marketing expenses"),0)-ROUND(SUMIFS('Consol (TB)'!L:L,'Consol (TB)'!A:A,"Distribution and logistic cost"),0)-ROUND(SUMIFS('Consol (TB)'!L:L,'Consol (TB)'!A:A,"General and administrative cost"),0)-ROUND(SUMIFS('Consol (TB)'!L:L,'Consol (TB)'!A:A,"Depreciation and amortisation"),0)-ROUND(SUMIFS('Consol (TB)'!L:L,'Consol (TB)'!A:A,"Interest expense"),0)-ROUND(SUMIFS('Consol (TB)'!L:L,'Consol (TB)'!A:A,"Witholding tax"),0)-ROUND(SUMIFS('Consol (TB)'!L:L,'Consol (TB)'!A:A,"Income Tax"),0)</f>
        <v>-4321230</v>
      </c>
    </row>
    <row r="27" spans="1:4" s="107" customFormat="1" x14ac:dyDescent="0.45">
      <c r="C27" s="119" t="s">
        <v>1701</v>
      </c>
      <c r="D27" s="123">
        <f>SUM(D25:D26)</f>
        <v>63442901</v>
      </c>
    </row>
    <row r="28" spans="1:4" s="107" customFormat="1" x14ac:dyDescent="0.45">
      <c r="D28" s="122"/>
    </row>
    <row r="29" spans="1:4" s="107" customFormat="1" x14ac:dyDescent="0.45">
      <c r="A29" s="107" t="s">
        <v>1671</v>
      </c>
      <c r="C29" s="119"/>
      <c r="D29" s="118">
        <f>-ROUND(SUMIFS('Consol (TB)'!L:L,'Consol (TB)'!A:A,A29),0)</f>
        <v>802995</v>
      </c>
    </row>
    <row r="30" spans="1:4" s="107" customFormat="1" x14ac:dyDescent="0.45">
      <c r="C30" s="119"/>
      <c r="D30" s="118"/>
    </row>
    <row r="31" spans="1:4" s="107" customFormat="1" x14ac:dyDescent="0.45">
      <c r="C31" s="119" t="s">
        <v>1702</v>
      </c>
      <c r="D31" s="123">
        <f>SUM(D27:D30)</f>
        <v>64245896</v>
      </c>
    </row>
    <row r="32" spans="1:4" s="107" customFormat="1" x14ac:dyDescent="0.45">
      <c r="C32" s="119"/>
      <c r="D32" s="122"/>
    </row>
    <row r="33" spans="1:4" s="107" customFormat="1" x14ac:dyDescent="0.45">
      <c r="A33" s="124" t="s">
        <v>1703</v>
      </c>
    </row>
    <row r="34" spans="1:4" s="107" customFormat="1" x14ac:dyDescent="0.45">
      <c r="A34" s="107" t="s">
        <v>1668</v>
      </c>
      <c r="D34" s="118">
        <f>-ROUND(SUMIFS('Consol (TB)'!L:L,'Consol (TB)'!A:A,A34),0)</f>
        <v>13570015</v>
      </c>
    </row>
    <row r="35" spans="1:4" s="107" customFormat="1" x14ac:dyDescent="0.45">
      <c r="A35" s="107" t="s">
        <v>1669</v>
      </c>
      <c r="D35" s="118">
        <f>-ROUND(SUMIFS('Consol (TB)'!L:L,'Consol (TB)'!A:A,A35),0)</f>
        <v>3298986</v>
      </c>
    </row>
    <row r="36" spans="1:4" s="107" customFormat="1" x14ac:dyDescent="0.45">
      <c r="C36" s="119" t="s">
        <v>1705</v>
      </c>
      <c r="D36" s="123">
        <f>SUM(D34:D35)</f>
        <v>16869001</v>
      </c>
    </row>
    <row r="37" spans="1:4" s="107" customFormat="1" x14ac:dyDescent="0.45"/>
    <row r="38" spans="1:4" s="107" customFormat="1" x14ac:dyDescent="0.45">
      <c r="A38" s="124" t="s">
        <v>1704</v>
      </c>
    </row>
    <row r="39" spans="1:4" s="107" customFormat="1" x14ac:dyDescent="0.45">
      <c r="A39" s="107" t="s">
        <v>1666</v>
      </c>
      <c r="D39" s="118">
        <f>-ROUND(SUMIFS('Consol (TB)'!L:L,'Consol (TB)'!A:A,A39),0)</f>
        <v>6913522</v>
      </c>
    </row>
    <row r="40" spans="1:4" s="107" customFormat="1" x14ac:dyDescent="0.45">
      <c r="A40" s="107" t="s">
        <v>1670</v>
      </c>
      <c r="D40" s="118">
        <f>-ROUND(SUMIFS('Consol (TB)'!L:L,'Consol (TB)'!A:A,A40),0)</f>
        <v>5293898</v>
      </c>
    </row>
    <row r="41" spans="1:4" s="107" customFormat="1" x14ac:dyDescent="0.45">
      <c r="A41" s="107" t="s">
        <v>1667</v>
      </c>
      <c r="D41" s="118">
        <f>-ROUND(SUMIFS('Consol (TB)'!L:L,'Consol (TB)'!A:A,A41),0)</f>
        <v>3277716</v>
      </c>
    </row>
    <row r="42" spans="1:4" s="107" customFormat="1" x14ac:dyDescent="0.45">
      <c r="A42" s="107" t="s">
        <v>1156</v>
      </c>
      <c r="D42" s="118">
        <f>-ROUND(SUMIFS('Consol (TB)'!L:L,'Consol (TB)'!A:A,A42),0)</f>
        <v>459679</v>
      </c>
    </row>
    <row r="43" spans="1:4" s="107" customFormat="1" x14ac:dyDescent="0.45">
      <c r="C43" s="119" t="s">
        <v>1706</v>
      </c>
      <c r="D43" s="123">
        <f>SUM(D39:D42)</f>
        <v>15944815</v>
      </c>
    </row>
    <row r="44" spans="1:4" s="107" customFormat="1" x14ac:dyDescent="0.45"/>
    <row r="45" spans="1:4" s="107" customFormat="1" ht="14.65" thickBot="1" x14ac:dyDescent="0.5">
      <c r="C45" s="119" t="s">
        <v>1707</v>
      </c>
      <c r="D45" s="125">
        <f>SUM(D43,D36,D31)</f>
        <v>97059712</v>
      </c>
    </row>
    <row r="47" spans="1:4" x14ac:dyDescent="0.45">
      <c r="C47" s="115"/>
      <c r="D47" s="116"/>
    </row>
  </sheetData>
  <sheetProtection algorithmName="SHA-512" hashValue="ghvHFrftWtGp86zmmr/2iJ+mTNlVgnI7kKKKM9fh+wrE81HoPiOLZ8K5ZcjW/NtFCThDcqX+WRsEnDKZWQT3vQ==" saltValue="K1/ktNZlFnP/nH/2kQgrhQ==" spinCount="100000" sheet="1" objects="1" scenarios="1" selectLockedCells="1" selectUnlockedCell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C0884-52AC-4B5F-8D88-E81DE90A0F44}">
  <sheetPr>
    <tabColor theme="8" tint="0.39997558519241921"/>
  </sheetPr>
  <dimension ref="A1:F31"/>
  <sheetViews>
    <sheetView zoomScale="85" zoomScaleNormal="85" workbookViewId="0">
      <selection activeCell="H1" sqref="H1"/>
    </sheetView>
  </sheetViews>
  <sheetFormatPr defaultRowHeight="14.25" x14ac:dyDescent="0.45"/>
  <cols>
    <col min="1" max="1" width="27.53125" bestFit="1" customWidth="1"/>
    <col min="4" max="4" width="15.59765625" bestFit="1" customWidth="1"/>
  </cols>
  <sheetData>
    <row r="1" spans="1:6" ht="25.5" x14ac:dyDescent="0.75">
      <c r="A1" s="226" t="s">
        <v>1684</v>
      </c>
      <c r="B1" s="151"/>
      <c r="C1" s="151"/>
      <c r="D1" s="151"/>
      <c r="F1" s="5"/>
    </row>
    <row r="2" spans="1:6" ht="25.5" x14ac:dyDescent="0.75">
      <c r="A2" s="4"/>
      <c r="F2" s="5"/>
    </row>
    <row r="3" spans="1:6" ht="25.5" x14ac:dyDescent="0.75">
      <c r="A3" s="4"/>
      <c r="B3" s="6" t="s">
        <v>1685</v>
      </c>
      <c r="C3" s="7"/>
      <c r="D3" s="7"/>
      <c r="E3" s="7"/>
      <c r="F3" s="8">
        <v>44531</v>
      </c>
    </row>
    <row r="4" spans="1:6" s="14" customFormat="1" ht="22.5" customHeight="1" x14ac:dyDescent="0.75">
      <c r="A4" s="110"/>
      <c r="B4" s="13"/>
      <c r="D4" s="112">
        <v>2021</v>
      </c>
    </row>
    <row r="5" spans="1:6" s="14" customFormat="1" ht="22.5" customHeight="1" x14ac:dyDescent="0.75">
      <c r="A5" s="110"/>
      <c r="B5" s="13"/>
      <c r="D5" s="112" t="s">
        <v>1686</v>
      </c>
    </row>
    <row r="6" spans="1:6" x14ac:dyDescent="0.45">
      <c r="A6" t="s">
        <v>1674</v>
      </c>
      <c r="D6" s="113">
        <f>-ROUND(SUMIFS('Consol (TB)'!L:L,'Consol (TB)'!A:A,A6),0)</f>
        <v>84440043</v>
      </c>
    </row>
    <row r="7" spans="1:6" x14ac:dyDescent="0.45">
      <c r="A7" t="s">
        <v>1675</v>
      </c>
      <c r="D7" s="113">
        <f>-ROUND(SUMIFS('Consol (TB)'!L:L,'Consol (TB)'!A:A,A7),0)</f>
        <v>-30518673</v>
      </c>
    </row>
    <row r="8" spans="1:6" ht="14" customHeight="1" x14ac:dyDescent="0.45">
      <c r="C8" s="115" t="s">
        <v>1687</v>
      </c>
      <c r="D8" s="114">
        <f>SUM(D6:D7)</f>
        <v>53921370</v>
      </c>
    </row>
    <row r="9" spans="1:6" ht="14" customHeight="1" x14ac:dyDescent="0.45">
      <c r="C9" s="115"/>
      <c r="D9" s="116"/>
    </row>
    <row r="10" spans="1:6" x14ac:dyDescent="0.45">
      <c r="A10" s="9" t="s">
        <v>1688</v>
      </c>
      <c r="D10" s="113"/>
    </row>
    <row r="11" spans="1:6" x14ac:dyDescent="0.45">
      <c r="A11" t="s">
        <v>1683</v>
      </c>
      <c r="D11" s="113">
        <f>-ROUND(SUMIFS('Consol (TB)'!L:L,'Consol (TB)'!A:A,A11),0)</f>
        <v>12687197</v>
      </c>
    </row>
    <row r="12" spans="1:6" x14ac:dyDescent="0.45">
      <c r="D12" s="113"/>
    </row>
    <row r="13" spans="1:6" x14ac:dyDescent="0.45">
      <c r="A13" s="9" t="s">
        <v>1689</v>
      </c>
      <c r="D13" s="113"/>
    </row>
    <row r="14" spans="1:6" x14ac:dyDescent="0.45">
      <c r="A14" t="s">
        <v>1676</v>
      </c>
      <c r="D14" s="113">
        <f>-ROUND(SUMIFS('Consol (TB)'!L:L,'Consol (TB)'!A:A,A14),0)</f>
        <v>-30288050</v>
      </c>
    </row>
    <row r="15" spans="1:6" x14ac:dyDescent="0.45">
      <c r="A15" t="s">
        <v>1677</v>
      </c>
      <c r="D15" s="113">
        <f>-ROUND(SUMIFS('Consol (TB)'!L:L,'Consol (TB)'!A:A,A15),0)</f>
        <v>-793243</v>
      </c>
    </row>
    <row r="16" spans="1:6" x14ac:dyDescent="0.45">
      <c r="A16" t="s">
        <v>1678</v>
      </c>
      <c r="D16" s="113">
        <f>-ROUND(SUMIFS('Consol (TB)'!L:L,'Consol (TB)'!A:A,A16),0)</f>
        <v>-5347506</v>
      </c>
    </row>
    <row r="17" spans="1:4" x14ac:dyDescent="0.45">
      <c r="A17" t="s">
        <v>1679</v>
      </c>
      <c r="D17" s="113">
        <f>-ROUND(SUMIFS('Consol (TB)'!L:L,'Consol (TB)'!A:A,A17),0)</f>
        <v>-24970259</v>
      </c>
    </row>
    <row r="18" spans="1:4" x14ac:dyDescent="0.45">
      <c r="A18" t="s">
        <v>1680</v>
      </c>
      <c r="D18" s="113">
        <f>-ROUND(SUMIFS('Consol (TB)'!L:L,'Consol (TB)'!A:A,A18),0)</f>
        <v>-6607610</v>
      </c>
    </row>
    <row r="19" spans="1:4" x14ac:dyDescent="0.45">
      <c r="A19" t="s">
        <v>1682</v>
      </c>
      <c r="D19" s="113">
        <f>-ROUND(SUMIFS('Consol (TB)'!L:L,'Consol (TB)'!A:A,A19),0)</f>
        <v>175506</v>
      </c>
    </row>
    <row r="21" spans="1:4" x14ac:dyDescent="0.45">
      <c r="C21" s="115" t="s">
        <v>1690</v>
      </c>
      <c r="D21" s="114">
        <f>SUM(D8:D20)</f>
        <v>-1222595</v>
      </c>
    </row>
    <row r="22" spans="1:4" x14ac:dyDescent="0.45">
      <c r="D22" s="113"/>
    </row>
    <row r="23" spans="1:4" x14ac:dyDescent="0.45">
      <c r="A23" t="s">
        <v>1681</v>
      </c>
      <c r="D23" s="113">
        <f>-ROUND(SUMIFS('Consol (TB)'!L:L,'Consol (TB)'!A:A,A23),0)</f>
        <v>-9034</v>
      </c>
    </row>
    <row r="24" spans="1:4" x14ac:dyDescent="0.45">
      <c r="A24" t="s">
        <v>1713</v>
      </c>
      <c r="D24" s="113">
        <f>-ROUND(SUMIFS('Consol (TB)'!L:L,'Consol (TB)'!A:A,A24),0)</f>
        <v>-1046250</v>
      </c>
    </row>
    <row r="26" spans="1:4" x14ac:dyDescent="0.45">
      <c r="C26" s="115" t="s">
        <v>1691</v>
      </c>
      <c r="D26" s="114">
        <f>SUM(D21:D24)</f>
        <v>-2277879</v>
      </c>
    </row>
    <row r="28" spans="1:4" x14ac:dyDescent="0.45">
      <c r="A28" s="9" t="s">
        <v>1708</v>
      </c>
    </row>
    <row r="29" spans="1:4" x14ac:dyDescent="0.45">
      <c r="A29" t="s">
        <v>1709</v>
      </c>
      <c r="D29" s="126">
        <f>-SUM('Consol (TB)'!F128:F352)-70%*SUM('Consol (TB)'!H128:H352)</f>
        <v>-3056263.9420000082</v>
      </c>
    </row>
    <row r="30" spans="1:4" x14ac:dyDescent="0.45">
      <c r="A30" t="s">
        <v>1671</v>
      </c>
      <c r="D30" s="126">
        <f>-(30%*SUM('Consol (TB)'!H128:H352))</f>
        <v>778385.2919999985</v>
      </c>
    </row>
    <row r="31" spans="1:4" ht="14.65" thickBot="1" x14ac:dyDescent="0.5">
      <c r="D31" s="127">
        <f>SUM(D29:D30)</f>
        <v>-2277878.6500000097</v>
      </c>
    </row>
  </sheetData>
  <sheetProtection algorithmName="SHA-512" hashValue="sgnoNXqDz0HxhGFgR9N1eOaRGS5YK5OvAZpOmbbNcgZJkn5QsOuc+j0LPCmdvLgNok0Yp5LzCoVkx+9anYlI9A==" saltValue="GK/EGqUkwfWRoosrkrZAGg==" spinCount="100000" sheet="1" objects="1" scenarios="1" selectLockedCells="1" selectUnlockedCell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EA6EB-1198-4CCC-BADE-BB1CE93F5A49}">
  <sheetPr>
    <tabColor theme="8" tint="0.39997558519241921"/>
  </sheetPr>
  <dimension ref="A1:S62"/>
  <sheetViews>
    <sheetView topLeftCell="B1" zoomScale="85" zoomScaleNormal="85" workbookViewId="0">
      <pane xSplit="4" ySplit="7" topLeftCell="F8" activePane="bottomRight" state="frozen"/>
      <selection activeCell="D10" sqref="D10"/>
      <selection pane="topRight" activeCell="D10" sqref="D10"/>
      <selection pane="bottomLeft" activeCell="D10" sqref="D10"/>
      <selection pane="bottomRight" activeCell="H1" sqref="H1"/>
    </sheetView>
  </sheetViews>
  <sheetFormatPr defaultRowHeight="14.25" x14ac:dyDescent="0.45"/>
  <cols>
    <col min="1" max="1" width="7.06640625" customWidth="1"/>
    <col min="5" max="5" width="23.796875" customWidth="1"/>
    <col min="6" max="6" width="19.265625" style="148" customWidth="1"/>
    <col min="8" max="8" width="11.59765625" style="16" customWidth="1"/>
    <col min="9" max="9" width="29.9296875" style="146" customWidth="1"/>
    <col min="10" max="10" width="28" style="146" bestFit="1" customWidth="1"/>
    <col min="11" max="11" width="16.265625" style="16" customWidth="1"/>
    <col min="13" max="14" width="15.46484375" customWidth="1"/>
    <col min="15" max="15" width="13.46484375" bestFit="1" customWidth="1"/>
    <col min="16" max="16" width="11.796875" bestFit="1" customWidth="1"/>
    <col min="18" max="18" width="17.46484375" customWidth="1"/>
    <col min="19" max="19" width="13.46484375" bestFit="1" customWidth="1"/>
  </cols>
  <sheetData>
    <row r="1" spans="1:15" ht="25.5" x14ac:dyDescent="0.75">
      <c r="A1" s="4" t="s">
        <v>1684</v>
      </c>
      <c r="B1" s="151"/>
      <c r="C1" s="151"/>
      <c r="D1" s="151"/>
      <c r="E1" s="151"/>
      <c r="F1" s="146"/>
    </row>
    <row r="2" spans="1:15" ht="25.5" x14ac:dyDescent="0.75">
      <c r="A2" s="4"/>
      <c r="F2" s="146"/>
    </row>
    <row r="3" spans="1:15" ht="25.5" x14ac:dyDescent="0.75">
      <c r="A3" s="4"/>
      <c r="B3" s="208" t="s">
        <v>1720</v>
      </c>
      <c r="C3" s="208"/>
      <c r="D3" s="208"/>
      <c r="E3" s="208"/>
      <c r="F3" s="208"/>
      <c r="G3" s="208"/>
      <c r="H3" s="208"/>
      <c r="I3" s="208"/>
      <c r="J3" s="208"/>
      <c r="K3" s="208"/>
      <c r="L3" s="208"/>
      <c r="M3" s="8">
        <v>44531</v>
      </c>
      <c r="N3" s="8"/>
    </row>
    <row r="4" spans="1:15" x14ac:dyDescent="0.45">
      <c r="F4" s="147" t="s">
        <v>1810</v>
      </c>
      <c r="I4" s="176" t="s">
        <v>1808</v>
      </c>
      <c r="J4" s="176" t="s">
        <v>1854</v>
      </c>
      <c r="K4" s="176" t="s">
        <v>1830</v>
      </c>
      <c r="M4" s="176" t="s">
        <v>1831</v>
      </c>
      <c r="N4" s="176"/>
    </row>
    <row r="5" spans="1:15" x14ac:dyDescent="0.45">
      <c r="F5" s="112">
        <v>2021</v>
      </c>
    </row>
    <row r="6" spans="1:15" x14ac:dyDescent="0.45">
      <c r="B6" s="9" t="s">
        <v>1721</v>
      </c>
    </row>
    <row r="8" spans="1:15" x14ac:dyDescent="0.45">
      <c r="B8" t="s">
        <v>1722</v>
      </c>
      <c r="F8" s="148" t="e">
        <f ca="1">SUMIFS('Cashflow Working'!$E$128:$DU$128,'Cashflow Working'!$E$130:$DU$130,'Consol (Cashflow)'!B8)</f>
        <v>#NAME?</v>
      </c>
      <c r="I8" s="146">
        <f>SUM('Consol Entries'!D11:D12)</f>
        <v>-131701.69499999998</v>
      </c>
      <c r="J8" s="146">
        <f>SUMIFS('Acq of Subsidiary - BnC'!F:F,'Acq of Subsidiary - BnC'!B:B,B8)</f>
        <v>0</v>
      </c>
      <c r="K8" s="16">
        <f>SUMIFS('Project Toffee'!J:J,'Project Toffee'!I:I,B8)</f>
        <v>0</v>
      </c>
      <c r="M8" s="20" t="e">
        <f ca="1">SUM(F8:K8)</f>
        <v>#NAME?</v>
      </c>
      <c r="N8" s="174" t="s">
        <v>1544</v>
      </c>
      <c r="O8" s="20" t="e">
        <f ca="1">M8-'Consol (PnL)'!D26</f>
        <v>#NAME?</v>
      </c>
    </row>
    <row r="10" spans="1:15" x14ac:dyDescent="0.45">
      <c r="B10" t="s">
        <v>1723</v>
      </c>
    </row>
    <row r="11" spans="1:15" x14ac:dyDescent="0.45">
      <c r="B11" t="s">
        <v>1724</v>
      </c>
      <c r="F11" s="148">
        <f>SUMIFS('Cashflow Working'!$E$128:$DU$128,'Cashflow Working'!$E$130:$DU$130,'Consol (Cashflow)'!B11)</f>
        <v>0</v>
      </c>
      <c r="J11" s="146">
        <f>SUMIFS('Acq of Subsidiary - BnC'!F:F,'Acq of Subsidiary - BnC'!B:B,B11)</f>
        <v>0</v>
      </c>
      <c r="K11" s="16">
        <f>SUMIFS('Project Toffee'!J:J,'Project Toffee'!I:I,B11)</f>
        <v>0</v>
      </c>
      <c r="M11" s="20">
        <f t="shared" ref="M11:M21" si="0">SUM(F11:K11)</f>
        <v>0</v>
      </c>
      <c r="N11" s="20"/>
    </row>
    <row r="12" spans="1:15" x14ac:dyDescent="0.45">
      <c r="B12" t="s">
        <v>1725</v>
      </c>
      <c r="F12" s="148">
        <f>SUMIFS('Cashflow Working'!$E$128:$DU$128,'Cashflow Working'!$E$130:$DU$130,'Consol (Cashflow)'!B12)</f>
        <v>0</v>
      </c>
      <c r="J12" s="146">
        <f>SUMIFS('Acq of Subsidiary - BnC'!F:F,'Acq of Subsidiary - BnC'!B:B,B12)</f>
        <v>0</v>
      </c>
      <c r="K12" s="16">
        <f>SUMIFS('Project Toffee'!J:J,'Project Toffee'!I:I,B12)</f>
        <v>0</v>
      </c>
      <c r="M12" s="20">
        <f t="shared" si="0"/>
        <v>0</v>
      </c>
      <c r="N12" s="20"/>
    </row>
    <row r="13" spans="1:15" x14ac:dyDescent="0.45">
      <c r="B13" t="s">
        <v>1680</v>
      </c>
      <c r="F13" s="148" t="e">
        <f ca="1">SUMIFS('Cashflow Working'!$E$128:$DU$128,'Cashflow Working'!$E$130:$DU$130,'Consol (Cashflow)'!B13)</f>
        <v>#NAME?</v>
      </c>
      <c r="J13" s="146">
        <f>SUMIFS('Acq of Subsidiary - BnC'!F:F,'Acq of Subsidiary - BnC'!B:B,B13)</f>
        <v>-4750149.84</v>
      </c>
      <c r="K13" s="16">
        <f>SUMIFS('Project Toffee'!J:J,'Project Toffee'!I:I,B13)</f>
        <v>0</v>
      </c>
      <c r="M13" s="20" t="e">
        <f t="shared" ca="1" si="0"/>
        <v>#NAME?</v>
      </c>
      <c r="N13" s="20"/>
    </row>
    <row r="14" spans="1:15" x14ac:dyDescent="0.45">
      <c r="B14" t="s">
        <v>1726</v>
      </c>
      <c r="F14" s="148">
        <f>SUMIFS('Cashflow Working'!$E$128:$DU$128,'Cashflow Working'!$E$130:$DU$130,'Consol (Cashflow)'!B14)</f>
        <v>0</v>
      </c>
      <c r="J14" s="146">
        <f>SUMIFS('Acq of Subsidiary - BnC'!F:F,'Acq of Subsidiary - BnC'!B:B,B14)</f>
        <v>0</v>
      </c>
      <c r="K14" s="16">
        <f>SUMIFS('Project Toffee'!J:J,'Project Toffee'!I:I,B14)</f>
        <v>0</v>
      </c>
      <c r="M14" s="20">
        <f t="shared" si="0"/>
        <v>0</v>
      </c>
      <c r="N14" s="20"/>
    </row>
    <row r="15" spans="1:15" x14ac:dyDescent="0.45">
      <c r="B15" t="s">
        <v>1727</v>
      </c>
      <c r="F15" s="148">
        <f>SUMIFS('Cashflow Working'!$E$128:$DU$128,'Cashflow Working'!$E$130:$DU$130,'Consol (Cashflow)'!B15)</f>
        <v>0</v>
      </c>
      <c r="J15" s="146">
        <f>SUMIFS('Acq of Subsidiary - BnC'!F:F,'Acq of Subsidiary - BnC'!B:B,B15)</f>
        <v>0</v>
      </c>
      <c r="K15" s="16">
        <f>SUMIFS('Project Toffee'!J:J,'Project Toffee'!I:I,B15)</f>
        <v>0</v>
      </c>
      <c r="M15" s="20">
        <f t="shared" si="0"/>
        <v>0</v>
      </c>
      <c r="N15" s="20"/>
    </row>
    <row r="16" spans="1:15" x14ac:dyDescent="0.45">
      <c r="B16" t="s">
        <v>1682</v>
      </c>
      <c r="F16" s="148">
        <f>SUMIFS('Cashflow Working'!$E$128:$DU$128,'Cashflow Working'!$E$130:$DU$130,'Consol (Cashflow)'!B16)</f>
        <v>0</v>
      </c>
      <c r="J16" s="146">
        <f>SUMIFS('Acq of Subsidiary - BnC'!F:F,'Acq of Subsidiary - BnC'!B:B,B16)</f>
        <v>0</v>
      </c>
      <c r="K16" s="16">
        <f>SUMIFS('Project Toffee'!J:J,'Project Toffee'!I:I,B16)</f>
        <v>0</v>
      </c>
      <c r="M16" s="20">
        <f t="shared" si="0"/>
        <v>0</v>
      </c>
      <c r="N16" s="20"/>
    </row>
    <row r="17" spans="2:14" x14ac:dyDescent="0.45">
      <c r="B17" t="s">
        <v>1728</v>
      </c>
      <c r="F17" s="148">
        <f>SUMIFS('Cashflow Working'!$E$128:$DU$128,'Cashflow Working'!$E$130:$DU$130,'Consol (Cashflow)'!B17)</f>
        <v>0</v>
      </c>
      <c r="J17" s="146">
        <f>SUMIFS('Acq of Subsidiary - BnC'!F:F,'Acq of Subsidiary - BnC'!B:B,B17)</f>
        <v>0</v>
      </c>
      <c r="K17" s="16">
        <f>SUMIFS('Project Toffee'!J:J,'Project Toffee'!I:I,B17)</f>
        <v>0</v>
      </c>
      <c r="M17" s="20">
        <f t="shared" si="0"/>
        <v>0</v>
      </c>
      <c r="N17" s="20"/>
    </row>
    <row r="18" spans="2:14" x14ac:dyDescent="0.45">
      <c r="B18" t="s">
        <v>1729</v>
      </c>
      <c r="F18" s="148">
        <f>SUMIFS('Cashflow Working'!$E$128:$DU$128,'Cashflow Working'!$E$130:$DU$130,'Consol (Cashflow)'!B18)</f>
        <v>0</v>
      </c>
      <c r="J18" s="146">
        <f>SUMIFS('Acq of Subsidiary - BnC'!F:F,'Acq of Subsidiary - BnC'!B:B,B18)</f>
        <v>0</v>
      </c>
      <c r="K18" s="16">
        <f>SUMIFS('Project Toffee'!J:J,'Project Toffee'!I:I,B18)</f>
        <v>0</v>
      </c>
      <c r="M18" s="20">
        <f t="shared" si="0"/>
        <v>0</v>
      </c>
      <c r="N18" s="20"/>
    </row>
    <row r="19" spans="2:14" x14ac:dyDescent="0.45">
      <c r="B19" t="s">
        <v>1730</v>
      </c>
      <c r="F19" s="148">
        <f>SUMIFS('Cashflow Working'!$E$128:$DU$128,'Cashflow Working'!$E$130:$DU$130,'Consol (Cashflow)'!B19)</f>
        <v>0</v>
      </c>
      <c r="J19" s="146">
        <f>SUMIFS('Acq of Subsidiary - BnC'!F:F,'Acq of Subsidiary - BnC'!B:B,B19)</f>
        <v>0</v>
      </c>
      <c r="K19" s="16">
        <f>SUMIFS('Project Toffee'!J:J,'Project Toffee'!I:I,B19)</f>
        <v>0</v>
      </c>
      <c r="M19" s="20">
        <f t="shared" si="0"/>
        <v>0</v>
      </c>
      <c r="N19" s="20"/>
    </row>
    <row r="20" spans="2:14" x14ac:dyDescent="0.45">
      <c r="B20" t="s">
        <v>1731</v>
      </c>
      <c r="F20" s="148">
        <f>SUMIFS('Cashflow Working'!$E$128:$DU$128,'Cashflow Working'!$E$130:$DU$130,'Consol (Cashflow)'!B20)</f>
        <v>0</v>
      </c>
      <c r="J20" s="146">
        <f>SUMIFS('Acq of Subsidiary - BnC'!F:F,'Acq of Subsidiary - BnC'!B:B,B20)</f>
        <v>0</v>
      </c>
      <c r="K20" s="16">
        <f>SUMIFS('Project Toffee'!J:J,'Project Toffee'!I:I,B20)</f>
        <v>0</v>
      </c>
      <c r="M20" s="20">
        <f t="shared" si="0"/>
        <v>0</v>
      </c>
      <c r="N20" s="20"/>
    </row>
    <row r="21" spans="2:14" x14ac:dyDescent="0.45">
      <c r="B21" t="s">
        <v>1732</v>
      </c>
      <c r="F21" s="148">
        <f>SUMIFS('Cashflow Working'!$E$128:$DU$128,'Cashflow Working'!$E$130:$DU$130,'Consol (Cashflow)'!B21)</f>
        <v>0</v>
      </c>
      <c r="J21" s="146">
        <f>SUMIFS('Acq of Subsidiary - BnC'!F:F,'Acq of Subsidiary - BnC'!B:B,B21)</f>
        <v>0</v>
      </c>
      <c r="K21" s="16">
        <f>SUMIFS('Project Toffee'!J:J,'Project Toffee'!I:I,B21)</f>
        <v>0</v>
      </c>
      <c r="M21" s="20">
        <f t="shared" si="0"/>
        <v>0</v>
      </c>
      <c r="N21" s="20"/>
    </row>
    <row r="24" spans="2:14" x14ac:dyDescent="0.45">
      <c r="B24" t="s">
        <v>1733</v>
      </c>
    </row>
    <row r="25" spans="2:14" x14ac:dyDescent="0.45">
      <c r="B25" t="s">
        <v>1660</v>
      </c>
      <c r="F25" s="148" t="e">
        <f ca="1">SUMIFS('Cashflow Working'!$E$128:$DU$128,'Cashflow Working'!$E$130:$DU$130,'Consol (Cashflow)'!B25)</f>
        <v>#NAME?</v>
      </c>
      <c r="J25" s="146">
        <f>SUMIFS('Acq of Subsidiary - BnC'!F:F,'Acq of Subsidiary - BnC'!B:B,B25)</f>
        <v>111992.03</v>
      </c>
      <c r="K25" s="16">
        <f>SUMIFS('Project Toffee'!J:J,'Project Toffee'!I:I,B25)</f>
        <v>855705.39999999979</v>
      </c>
      <c r="M25" s="20" t="e">
        <f t="shared" ref="M25:M30" ca="1" si="1">SUM(F25:K25)</f>
        <v>#NAME?</v>
      </c>
      <c r="N25" s="20"/>
    </row>
    <row r="26" spans="2:14" x14ac:dyDescent="0.45">
      <c r="B26" t="s">
        <v>1734</v>
      </c>
      <c r="F26" s="148" t="e">
        <f ca="1">SUMIFS('Cashflow Working'!$E$128:$DU$128,'Cashflow Working'!$E$130:$DU$130,'Consol (Cashflow)'!B26)</f>
        <v>#NAME?</v>
      </c>
      <c r="J26" s="146">
        <f>SUMIFS('Acq of Subsidiary - BnC'!F:F,'Acq of Subsidiary - BnC'!B:B,B26)</f>
        <v>249366.75000000003</v>
      </c>
      <c r="K26" s="16">
        <f>SUMIFS('Project Toffee'!J:J,'Project Toffee'!I:I,B26)</f>
        <v>-46820000</v>
      </c>
      <c r="M26" s="20" t="e">
        <f t="shared" ca="1" si="1"/>
        <v>#NAME?</v>
      </c>
      <c r="N26" s="20"/>
    </row>
    <row r="27" spans="2:14" x14ac:dyDescent="0.45">
      <c r="B27" t="s">
        <v>1118</v>
      </c>
      <c r="F27" s="148" t="e">
        <f ca="1">SUMIFS('Cashflow Working'!$E$128:$DU$128,'Cashflow Working'!$E$130:$DU$130,'Consol (Cashflow)'!B27)</f>
        <v>#NAME?</v>
      </c>
      <c r="J27" s="146">
        <f>SUMIFS('Acq of Subsidiary - BnC'!F:F,'Acq of Subsidiary - BnC'!B:B,B27)</f>
        <v>388632.71</v>
      </c>
      <c r="K27" s="16">
        <f>SUMIFS('Project Toffee'!J:J,'Project Toffee'!I:I,B27)</f>
        <v>61416.391124327391</v>
      </c>
      <c r="M27" s="20" t="e">
        <f t="shared" ca="1" si="1"/>
        <v>#NAME?</v>
      </c>
      <c r="N27" s="20"/>
    </row>
    <row r="28" spans="2:14" x14ac:dyDescent="0.45">
      <c r="B28" t="s">
        <v>1735</v>
      </c>
      <c r="F28" s="148" t="e">
        <f ca="1">SUMIFS('Cashflow Working'!$E$128:$DU$128,'Cashflow Working'!$E$130:$DU$130,'Consol (Cashflow)'!B28)</f>
        <v>#NAME?</v>
      </c>
      <c r="J28" s="146">
        <f>SUMIFS('Acq of Subsidiary - BnC'!F:F,'Acq of Subsidiary - BnC'!B:B,B28)</f>
        <v>579772.04999999993</v>
      </c>
      <c r="K28" s="16">
        <f>SUMIFS('Project Toffee'!J:J,'Project Toffee'!I:I,B28)</f>
        <v>1693788</v>
      </c>
      <c r="M28" s="20" t="e">
        <f t="shared" ca="1" si="1"/>
        <v>#NAME?</v>
      </c>
      <c r="N28" s="20"/>
    </row>
    <row r="29" spans="2:14" x14ac:dyDescent="0.45">
      <c r="B29" t="s">
        <v>1667</v>
      </c>
      <c r="F29" s="148" t="e">
        <f ca="1">SUMIFS('Cashflow Working'!$E$128:$DU$128,'Cashflow Working'!$E$130:$DU$130,'Consol (Cashflow)'!B29)</f>
        <v>#NAME?</v>
      </c>
      <c r="I29" s="146">
        <f>-I8</f>
        <v>131701.69499999998</v>
      </c>
      <c r="J29" s="146">
        <f>SUMIFS('Acq of Subsidiary - BnC'!F:F,'Acq of Subsidiary - BnC'!B:B,B29)</f>
        <v>-923516.14799999993</v>
      </c>
      <c r="K29" s="16">
        <f>SUMIFS('Project Toffee'!J:J,'Project Toffee'!I:I,B29)</f>
        <v>-5541637</v>
      </c>
      <c r="M29" s="20" t="e">
        <f t="shared" ca="1" si="1"/>
        <v>#NAME?</v>
      </c>
      <c r="N29" s="20"/>
    </row>
    <row r="30" spans="2:14" x14ac:dyDescent="0.45">
      <c r="B30" t="s">
        <v>1736</v>
      </c>
      <c r="F30" s="148" t="e">
        <f ca="1">SUMIFS('Cashflow Working'!$E$128:$DU$128,'Cashflow Working'!$E$130:$DU$130,'Consol (Cashflow)'!B30)</f>
        <v>#NAME?</v>
      </c>
      <c r="J30" s="146">
        <f>SUMIFS('Acq of Subsidiary - BnC'!F:F,'Acq of Subsidiary - BnC'!B:B,B30)</f>
        <v>-1010082.29</v>
      </c>
      <c r="K30" s="16">
        <f>SUMIFS('Project Toffee'!J:J,'Project Toffee'!I:I,B30)</f>
        <v>0</v>
      </c>
      <c r="M30" s="20" t="e">
        <f t="shared" ca="1" si="1"/>
        <v>#NAME?</v>
      </c>
      <c r="N30" s="20"/>
    </row>
    <row r="31" spans="2:14" x14ac:dyDescent="0.45">
      <c r="B31" s="9" t="s">
        <v>1737</v>
      </c>
      <c r="F31" s="147" t="e">
        <f ca="1">SUM(F25:F30)</f>
        <v>#NAME?</v>
      </c>
      <c r="M31" s="147" t="e">
        <f ca="1">SUM(M25:M30)</f>
        <v>#NAME?</v>
      </c>
    </row>
    <row r="32" spans="2:14" x14ac:dyDescent="0.45">
      <c r="B32" t="s">
        <v>1738</v>
      </c>
      <c r="F32" s="148">
        <f>SUMIFS('Cashflow Working'!$E$128:$DU$128,'Cashflow Working'!$E$130:$DU$130,'Consol (Cashflow)'!B32)</f>
        <v>0</v>
      </c>
      <c r="K32" s="16">
        <f>SUMIFS('Project Toffee'!J:J,'Project Toffee'!I:I,B32)</f>
        <v>0</v>
      </c>
      <c r="M32" s="20">
        <f t="shared" ref="M32:M33" si="2">SUM(F32:K32)</f>
        <v>0</v>
      </c>
      <c r="N32" s="20"/>
    </row>
    <row r="33" spans="2:14" x14ac:dyDescent="0.45">
      <c r="B33" t="s">
        <v>1739</v>
      </c>
      <c r="F33" s="148">
        <f>SUMIFS('Cashflow Working'!$E$128:$DU$128,'Cashflow Working'!$E$130:$DU$130,'Consol (Cashflow)'!B33)</f>
        <v>0</v>
      </c>
      <c r="K33" s="16">
        <f>SUMIFS('Project Toffee'!J:J,'Project Toffee'!I:I,B33)</f>
        <v>0</v>
      </c>
      <c r="M33" s="20">
        <f t="shared" si="2"/>
        <v>0</v>
      </c>
      <c r="N33" s="20"/>
    </row>
    <row r="34" spans="2:14" ht="14.65" thickBot="1" x14ac:dyDescent="0.5">
      <c r="B34" s="9" t="s">
        <v>1740</v>
      </c>
      <c r="F34" s="150" t="e">
        <f ca="1">SUM(F31:F33)</f>
        <v>#NAME?</v>
      </c>
      <c r="M34" s="150" t="e">
        <f ca="1">SUM(M31:M33)</f>
        <v>#NAME?</v>
      </c>
    </row>
    <row r="36" spans="2:14" x14ac:dyDescent="0.45">
      <c r="B36" t="s">
        <v>1741</v>
      </c>
    </row>
    <row r="37" spans="2:14" x14ac:dyDescent="0.45">
      <c r="B37" t="s">
        <v>1742</v>
      </c>
      <c r="F37" s="148">
        <f>SUMIFS('Cashflow Working'!$E$128:$DU$128,'Cashflow Working'!$E$130:$DU$130,'Consol (Cashflow)'!B37)</f>
        <v>0</v>
      </c>
      <c r="J37" s="146">
        <f>SUMIFS('Acq of Subsidiary - BnC'!F:F,'Acq of Subsidiary - BnC'!B:B,B37)</f>
        <v>0</v>
      </c>
      <c r="K37" s="16">
        <f>SUMIFS('Project Toffee'!J:J,'Project Toffee'!I:I,B37)</f>
        <v>0</v>
      </c>
      <c r="M37" s="20">
        <f t="shared" ref="M37:M44" si="3">SUM(F37:K37)</f>
        <v>0</v>
      </c>
      <c r="N37" s="20"/>
    </row>
    <row r="38" spans="2:14" x14ac:dyDescent="0.45">
      <c r="B38" t="s">
        <v>1743</v>
      </c>
      <c r="F38" s="148" t="e">
        <f ca="1">SUMIFS('Cashflow Working'!$E$128:$DU$128,'Cashflow Working'!$E$130:$DU$130,'Consol (Cashflow)'!B38)</f>
        <v>#NAME?</v>
      </c>
      <c r="J38" s="146">
        <f>SUMIFS('Acq of Subsidiary - BnC'!F:F,'Acq of Subsidiary - BnC'!B:B,B38)</f>
        <v>9205947.6400000006</v>
      </c>
      <c r="K38" s="16">
        <f>SUMIFS('Project Toffee'!J:J,'Project Toffee'!I:I,B38)</f>
        <v>2606690.600000001</v>
      </c>
      <c r="M38" s="20" t="e">
        <f t="shared" ca="1" si="3"/>
        <v>#NAME?</v>
      </c>
      <c r="N38" s="20"/>
    </row>
    <row r="39" spans="2:14" x14ac:dyDescent="0.45">
      <c r="B39" t="s">
        <v>1744</v>
      </c>
      <c r="F39" s="148">
        <f>SUMIFS('Cashflow Working'!$E$128:$DU$128,'Cashflow Working'!$E$130:$DU$130,'Consol (Cashflow)'!B39)</f>
        <v>0</v>
      </c>
      <c r="J39" s="146">
        <f>SUMIFS('Acq of Subsidiary - BnC'!F:F,'Acq of Subsidiary - BnC'!B:B,B39)</f>
        <v>-12756327.120000001</v>
      </c>
      <c r="K39" s="16">
        <f>SUMIFS('Project Toffee'!J:J,'Project Toffee'!I:I,B39)</f>
        <v>0</v>
      </c>
      <c r="M39" s="20">
        <f t="shared" si="3"/>
        <v>-12756327.120000001</v>
      </c>
      <c r="N39" s="20"/>
    </row>
    <row r="40" spans="2:14" x14ac:dyDescent="0.45">
      <c r="B40" t="s">
        <v>1745</v>
      </c>
      <c r="F40" s="148" t="e">
        <f ca="1">SUMIFS('Cashflow Working'!$E$128:$DU$128,'Cashflow Working'!$E$130:$DU$130,'Consol (Cashflow)'!B40)</f>
        <v>#NAME?</v>
      </c>
      <c r="J40" s="146">
        <f>SUMIFS('Acq of Subsidiary - BnC'!F:F,'Acq of Subsidiary - BnC'!B:B,B40)</f>
        <v>0</v>
      </c>
      <c r="K40" s="16">
        <f>SUMIFS('Project Toffee'!J:J,'Project Toffee'!I:I,B40)</f>
        <v>30561000</v>
      </c>
      <c r="M40" s="20" t="e">
        <f t="shared" ca="1" si="3"/>
        <v>#NAME?</v>
      </c>
      <c r="N40" s="20"/>
    </row>
    <row r="41" spans="2:14" x14ac:dyDescent="0.45">
      <c r="B41" t="s">
        <v>1746</v>
      </c>
      <c r="F41" s="148">
        <f>SUMIFS('Cashflow Working'!$E$128:$DU$128,'Cashflow Working'!$E$130:$DU$130,'Consol (Cashflow)'!B41)</f>
        <v>0</v>
      </c>
      <c r="J41" s="146">
        <f>SUMIFS('Acq of Subsidiary - BnC'!F:F,'Acq of Subsidiary - BnC'!B:B,B41)</f>
        <v>0</v>
      </c>
      <c r="K41" s="16">
        <f>SUMIFS('Project Toffee'!J:J,'Project Toffee'!I:I,B41)</f>
        <v>0</v>
      </c>
      <c r="M41" s="20">
        <f t="shared" si="3"/>
        <v>0</v>
      </c>
      <c r="N41" s="20"/>
    </row>
    <row r="42" spans="2:14" x14ac:dyDescent="0.45">
      <c r="B42" t="s">
        <v>1747</v>
      </c>
      <c r="F42" s="148">
        <f>SUMIFS('Cashflow Working'!$E$128:$DU$128,'Cashflow Working'!$E$130:$DU$130,'Consol (Cashflow)'!B42)</f>
        <v>0</v>
      </c>
      <c r="J42" s="146">
        <f>SUMIFS('Acq of Subsidiary - BnC'!F:F,'Acq of Subsidiary - BnC'!B:B,B42)</f>
        <v>0</v>
      </c>
      <c r="K42" s="16">
        <f>SUMIFS('Project Toffee'!J:J,'Project Toffee'!I:I,B42)</f>
        <v>0</v>
      </c>
      <c r="M42" s="20">
        <f t="shared" si="3"/>
        <v>0</v>
      </c>
      <c r="N42" s="20"/>
    </row>
    <row r="43" spans="2:14" x14ac:dyDescent="0.45">
      <c r="B43" t="s">
        <v>1766</v>
      </c>
      <c r="F43" s="148">
        <f>SUMIFS('Cashflow Working'!$E$128:$DU$128,'Cashflow Working'!$E$130:$DU$130,'Consol (Cashflow)'!B43)</f>
        <v>0</v>
      </c>
      <c r="J43" s="146">
        <f>SUMIFS('Acq of Subsidiary - BnC'!F:F,'Acq of Subsidiary - BnC'!B:B,B43)</f>
        <v>0</v>
      </c>
      <c r="K43" s="16">
        <f>SUMIFS('Project Toffee'!J:J,'Project Toffee'!I:I,B43)</f>
        <v>0</v>
      </c>
      <c r="M43" s="20">
        <f t="shared" si="3"/>
        <v>0</v>
      </c>
      <c r="N43" s="20"/>
    </row>
    <row r="44" spans="2:14" x14ac:dyDescent="0.45">
      <c r="B44" t="s">
        <v>1748</v>
      </c>
      <c r="F44" s="148">
        <f>SUMIFS('Cashflow Working'!$E$128:$DU$128,'Cashflow Working'!$E$130:$DU$130,'Consol (Cashflow)'!B44)</f>
        <v>0</v>
      </c>
      <c r="J44" s="146">
        <f>SUMIFS('Acq of Subsidiary - BnC'!F:F,'Acq of Subsidiary - BnC'!B:B,B44)</f>
        <v>0</v>
      </c>
      <c r="K44" s="16">
        <f>SUMIFS('Project Toffee'!J:J,'Project Toffee'!I:I,B44)</f>
        <v>0</v>
      </c>
      <c r="M44" s="20">
        <f t="shared" si="3"/>
        <v>0</v>
      </c>
      <c r="N44" s="20"/>
    </row>
    <row r="45" spans="2:14" ht="14.65" thickBot="1" x14ac:dyDescent="0.5">
      <c r="B45" s="9" t="s">
        <v>1749</v>
      </c>
      <c r="F45" s="150" t="e">
        <f ca="1">SUM(F37:F44)</f>
        <v>#NAME?</v>
      </c>
      <c r="M45" s="150" t="e">
        <f ca="1">SUM(M37:M44)</f>
        <v>#NAME?</v>
      </c>
    </row>
    <row r="48" spans="2:14" x14ac:dyDescent="0.45">
      <c r="B48" t="s">
        <v>1750</v>
      </c>
    </row>
    <row r="49" spans="2:19" x14ac:dyDescent="0.45">
      <c r="B49" t="s">
        <v>1751</v>
      </c>
      <c r="F49" s="148" t="e">
        <f ca="1">SUMIFS('Cashflow Working'!$E$128:$DU$128,'Cashflow Working'!$E$130:$DU$130,'Consol (Cashflow)'!B49)</f>
        <v>#NAME?</v>
      </c>
      <c r="J49" s="146">
        <f>SUMIFS('Acq of Subsidiary - BnC'!F:F,'Acq of Subsidiary - BnC'!B:B,B49)</f>
        <v>14260991.737999998</v>
      </c>
      <c r="K49" s="16">
        <f>SUMIFS('Project Toffee'!J:J,'Project Toffee'!I:I,B49)</f>
        <v>16583036.608875673</v>
      </c>
      <c r="M49" s="20" t="e">
        <f t="shared" ref="M49:M56" ca="1" si="4">SUM(F49:K49)</f>
        <v>#NAME?</v>
      </c>
      <c r="N49" s="20"/>
      <c r="O49" s="20"/>
      <c r="P49" s="20"/>
      <c r="R49" s="16"/>
      <c r="S49" s="20"/>
    </row>
    <row r="50" spans="2:19" x14ac:dyDescent="0.45">
      <c r="B50" t="s">
        <v>1752</v>
      </c>
      <c r="F50" s="148">
        <f>SUMIFS('Cashflow Working'!$E$128:$DU$128,'Cashflow Working'!$E$130:$DU$130,'Consol (Cashflow)'!B50)</f>
        <v>0</v>
      </c>
      <c r="J50" s="146">
        <f>SUMIFS('Acq of Subsidiary - BnC'!F:F,'Acq of Subsidiary - BnC'!B:B,B50)</f>
        <v>0</v>
      </c>
      <c r="K50" s="16">
        <f>SUMIFS('Project Toffee'!J:J,'Project Toffee'!I:I,B50)</f>
        <v>0</v>
      </c>
      <c r="M50" s="20">
        <f t="shared" si="4"/>
        <v>0</v>
      </c>
      <c r="N50" s="20"/>
    </row>
    <row r="51" spans="2:19" x14ac:dyDescent="0.45">
      <c r="B51" t="s">
        <v>1753</v>
      </c>
      <c r="F51" s="148" t="e">
        <f ca="1">SUMIFS('Cashflow Working'!$E$128:$DU$128,'Cashflow Working'!$E$130:$DU$130,'Consol (Cashflow)'!B51)</f>
        <v>#NAME?</v>
      </c>
      <c r="J51" s="146">
        <f>SUMIFS('Acq of Subsidiary - BnC'!F:F,'Acq of Subsidiary - BnC'!B:B,B51)</f>
        <v>-2504246.58</v>
      </c>
      <c r="K51" s="16">
        <f>SUMIFS('Project Toffee'!J:J,'Project Toffee'!I:I,B51)</f>
        <v>0</v>
      </c>
      <c r="M51" s="20" t="e">
        <f t="shared" ca="1" si="4"/>
        <v>#NAME?</v>
      </c>
      <c r="N51" s="20"/>
    </row>
    <row r="52" spans="2:19" x14ac:dyDescent="0.45">
      <c r="B52" t="s">
        <v>1754</v>
      </c>
      <c r="F52" s="148">
        <f>SUMIFS('Cashflow Working'!$E$128:$DU$128,'Cashflow Working'!$E$130:$DU$130,'Consol (Cashflow)'!B52)</f>
        <v>0</v>
      </c>
      <c r="J52" s="146">
        <f>SUMIFS('Acq of Subsidiary - BnC'!F:F,'Acq of Subsidiary - BnC'!B:B,B52)</f>
        <v>0</v>
      </c>
      <c r="K52" s="16">
        <f>SUMIFS('Project Toffee'!J:J,'Project Toffee'!I:I,B52)</f>
        <v>0</v>
      </c>
      <c r="M52" s="20">
        <f t="shared" si="4"/>
        <v>0</v>
      </c>
      <c r="N52" s="20"/>
    </row>
    <row r="53" spans="2:19" x14ac:dyDescent="0.45">
      <c r="B53" t="s">
        <v>1755</v>
      </c>
      <c r="F53" s="148" t="e">
        <f ca="1">SUMIFS('Cashflow Working'!$E$128:$DU$128,'Cashflow Working'!$E$130:$DU$130,'Consol (Cashflow)'!B53)</f>
        <v>#NAME?</v>
      </c>
      <c r="J53" s="146">
        <f>SUMIFS('Acq of Subsidiary - BnC'!F:F,'Acq of Subsidiary - BnC'!B:B,B53)</f>
        <v>-2852380.9400000004</v>
      </c>
      <c r="K53" s="16">
        <f>SUMIFS('Project Toffee'!J:J,'Project Toffee'!I:I,B53)</f>
        <v>0</v>
      </c>
      <c r="M53" s="20" t="e">
        <f t="shared" ca="1" si="4"/>
        <v>#NAME?</v>
      </c>
      <c r="N53" s="20"/>
    </row>
    <row r="54" spans="2:19" x14ac:dyDescent="0.45">
      <c r="B54" t="s">
        <v>1756</v>
      </c>
      <c r="F54" s="148">
        <f>SUMIFS('Cashflow Working'!$E$128:$DU$128,'Cashflow Working'!$E$130:$DU$130,'Consol (Cashflow)'!B54)</f>
        <v>0</v>
      </c>
      <c r="J54" s="146">
        <f>SUMIFS('Acq of Subsidiary - BnC'!F:F,'Acq of Subsidiary - BnC'!B:B,B54)</f>
        <v>0</v>
      </c>
      <c r="K54" s="16">
        <f>SUMIFS('Project Toffee'!J:J,'Project Toffee'!I:I,B54)</f>
        <v>0</v>
      </c>
      <c r="M54" s="20">
        <f t="shared" si="4"/>
        <v>0</v>
      </c>
      <c r="N54" s="20"/>
    </row>
    <row r="55" spans="2:19" x14ac:dyDescent="0.45">
      <c r="B55" t="s">
        <v>1757</v>
      </c>
      <c r="F55" s="148">
        <f>SUMIFS('Cashflow Working'!$E$128:$DU$128,'Cashflow Working'!$E$130:$DU$130,'Consol (Cashflow)'!B55)</f>
        <v>0</v>
      </c>
      <c r="J55" s="146">
        <f>SUMIFS('Acq of Subsidiary - BnC'!F:F,'Acq of Subsidiary - BnC'!B:B,B55)</f>
        <v>0</v>
      </c>
      <c r="K55" s="16">
        <f>SUMIFS('Project Toffee'!J:J,'Project Toffee'!I:I,B55)</f>
        <v>0</v>
      </c>
      <c r="M55" s="20">
        <f t="shared" si="4"/>
        <v>0</v>
      </c>
      <c r="N55" s="20"/>
    </row>
    <row r="56" spans="2:19" x14ac:dyDescent="0.45">
      <c r="B56" t="s">
        <v>1758</v>
      </c>
      <c r="F56" s="148">
        <f>SUMIFS('Cashflow Working'!$E$128:$DU$128,'Cashflow Working'!$E$130:$DU$130,'Consol (Cashflow)'!B56)</f>
        <v>0</v>
      </c>
      <c r="J56" s="146">
        <f>SUMIFS('Acq of Subsidiary - BnC'!F:F,'Acq of Subsidiary - BnC'!B:B,B56)</f>
        <v>0</v>
      </c>
      <c r="K56" s="16">
        <f>SUMIFS('Project Toffee'!J:J,'Project Toffee'!I:I,B56)</f>
        <v>0</v>
      </c>
      <c r="M56" s="20">
        <f t="shared" si="4"/>
        <v>0</v>
      </c>
      <c r="N56" s="20"/>
    </row>
    <row r="57" spans="2:19" ht="14.65" thickBot="1" x14ac:dyDescent="0.5">
      <c r="B57" s="9" t="s">
        <v>1759</v>
      </c>
      <c r="F57" s="149" t="e">
        <f ca="1">SUM(F49:F56)</f>
        <v>#NAME?</v>
      </c>
      <c r="M57" s="149" t="e">
        <f ca="1">SUM(M49:M56)</f>
        <v>#NAME?</v>
      </c>
    </row>
    <row r="59" spans="2:19" x14ac:dyDescent="0.45">
      <c r="B59" t="s">
        <v>1760</v>
      </c>
      <c r="F59" s="148" t="e">
        <f ca="1">SUM(F8:F21)+F34+F45+F57</f>
        <v>#NAME?</v>
      </c>
      <c r="J59" s="146">
        <f>SUMIFS('Acq of Subsidiary - BnC'!F:F,'Acq of Subsidiary - BnC'!B:B,B59)</f>
        <v>0</v>
      </c>
      <c r="K59" s="16">
        <f>SUMIFS('Project Toffee'!J:J,'Project Toffee'!I:I,B59)</f>
        <v>0</v>
      </c>
      <c r="M59" s="20" t="e">
        <f ca="1">SUM(M8:M21)+M34+M45+M57</f>
        <v>#NAME?</v>
      </c>
      <c r="N59" s="20"/>
    </row>
    <row r="60" spans="2:19" x14ac:dyDescent="0.45">
      <c r="B60" t="s">
        <v>1761</v>
      </c>
      <c r="F60" s="148">
        <f>SUM('Cashflow Working'!E4:V4)</f>
        <v>1989224.48</v>
      </c>
      <c r="J60" s="146">
        <f>SUMIFS('Acq of Subsidiary - BnC'!F:F,'Acq of Subsidiary - BnC'!B:B,B60)</f>
        <v>0</v>
      </c>
      <c r="K60" s="16">
        <f>SUMIFS('Project Toffee'!J:J,'Project Toffee'!I:I,B60)</f>
        <v>0</v>
      </c>
      <c r="M60" s="20">
        <f t="shared" ref="M60" si="5">SUM(F60:K60)</f>
        <v>1989224.48</v>
      </c>
      <c r="N60" s="20"/>
    </row>
    <row r="61" spans="2:19" x14ac:dyDescent="0.45">
      <c r="B61" t="s">
        <v>1762</v>
      </c>
    </row>
    <row r="62" spans="2:19" ht="14.65" thickBot="1" x14ac:dyDescent="0.5">
      <c r="B62" s="9" t="s">
        <v>1763</v>
      </c>
      <c r="F62" s="150" t="e">
        <f ca="1">SUM(F59:F61)</f>
        <v>#NAME?</v>
      </c>
      <c r="G62" s="174" t="s">
        <v>1544</v>
      </c>
      <c r="H62" s="175" t="e" vm="1">
        <f ca="1">SUM('Cashflow Working'!D6:D23)-F62</f>
        <v>#NAME?</v>
      </c>
      <c r="I62" s="177">
        <f>SUM(I5:I61)</f>
        <v>0</v>
      </c>
      <c r="J62" s="177">
        <f>SUM(J5:J61)</f>
        <v>-2.7939677238464355E-9</v>
      </c>
      <c r="K62" s="177">
        <f>SUM(K5:K61)</f>
        <v>3.7252902984619141E-9</v>
      </c>
      <c r="M62" s="177" t="e">
        <f ca="1">SUM(M59:M61)</f>
        <v>#NAME?</v>
      </c>
      <c r="N62" s="174" t="s">
        <v>1544</v>
      </c>
      <c r="O62" s="20" t="e" vm="1">
        <f ca="1">SUM('Cashflow Working'!D6:D23)-M62</f>
        <v>#NAME?</v>
      </c>
    </row>
  </sheetData>
  <sheetProtection algorithmName="SHA-512" hashValue="Xyo9gnanlOderIUWVSS/+VOwvNQOpdbTDe+2Cs8gWQZapa+hN3e17q0GxoRSuh5BfqTIMX6jy/y+JtVbUoCzsA==" saltValue="v7OTCMKk8cTuK07X9qP8gg==" spinCount="100000" sheet="1" objects="1" scenarios="1" selectLockedCells="1" selectUnlockedCells="1"/>
  <mergeCells count="1">
    <mergeCell ref="B3:L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0255B-35C2-4D8C-AAC4-863455204CE3}">
  <dimension ref="C2:DW130"/>
  <sheetViews>
    <sheetView zoomScale="55" zoomScaleNormal="55" workbookViewId="0">
      <pane ySplit="4" topLeftCell="A5" activePane="bottomLeft" state="frozen"/>
      <selection activeCell="S1" sqref="S1"/>
      <selection pane="bottomLeft" activeCell="C3" sqref="C3:D3"/>
    </sheetView>
  </sheetViews>
  <sheetFormatPr defaultRowHeight="14.25" x14ac:dyDescent="0.45"/>
  <cols>
    <col min="3" max="3" width="48.46484375" bestFit="1" customWidth="1"/>
    <col min="4" max="4" width="19.33203125" customWidth="1"/>
    <col min="5" max="5" width="12.59765625" customWidth="1"/>
    <col min="6" max="6" width="16" customWidth="1"/>
    <col min="7" max="7" width="23.19921875" customWidth="1"/>
    <col min="8" max="8" width="28.33203125" customWidth="1"/>
    <col min="9" max="9" width="24.33203125" customWidth="1"/>
    <col min="10" max="10" width="20.06640625" customWidth="1"/>
    <col min="11" max="11" width="29.53125" customWidth="1"/>
    <col min="12" max="12" width="29.46484375" customWidth="1"/>
    <col min="13" max="13" width="20.06640625" customWidth="1"/>
    <col min="14" max="14" width="29.53125" customWidth="1"/>
    <col min="15" max="15" width="29.46484375" customWidth="1"/>
    <col min="16" max="16" width="20.53125" customWidth="1"/>
    <col min="17" max="17" width="38.265625" customWidth="1"/>
    <col min="18" max="18" width="34.265625" customWidth="1"/>
    <col min="19" max="19" width="33.53125" customWidth="1"/>
    <col min="20" max="20" width="36.33203125" customWidth="1"/>
    <col min="21" max="21" width="27.265625" customWidth="1"/>
    <col min="22" max="22" width="34" customWidth="1"/>
    <col min="23" max="23" width="30.73046875" customWidth="1"/>
    <col min="24" max="24" width="29.796875" customWidth="1"/>
    <col min="25" max="25" width="32.9296875" customWidth="1"/>
    <col min="26" max="26" width="26.53125" customWidth="1"/>
    <col min="27" max="27" width="34.06640625" customWidth="1"/>
    <col min="28" max="28" width="31.46484375" customWidth="1"/>
    <col min="29" max="29" width="25.06640625" customWidth="1"/>
    <col min="30" max="30" width="18" customWidth="1"/>
    <col min="31" max="31" width="17.9296875" customWidth="1"/>
    <col min="32" max="32" width="19.33203125" customWidth="1"/>
    <col min="33" max="33" width="14.06640625" customWidth="1"/>
    <col min="34" max="34" width="12.73046875" customWidth="1"/>
    <col min="35" max="35" width="16.53125" customWidth="1"/>
    <col min="36" max="36" width="14.73046875" customWidth="1"/>
    <col min="37" max="37" width="15.19921875" customWidth="1"/>
    <col min="38" max="38" width="23.73046875" customWidth="1"/>
    <col min="39" max="39" width="13.06640625" customWidth="1"/>
    <col min="40" max="40" width="18.19921875" customWidth="1"/>
    <col min="41" max="41" width="25.33203125" customWidth="1"/>
    <col min="42" max="42" width="18.46484375" customWidth="1"/>
    <col min="43" max="43" width="26.06640625" customWidth="1"/>
    <col min="44" max="44" width="22.59765625" customWidth="1"/>
    <col min="45" max="45" width="11.9296875" customWidth="1"/>
    <col min="46" max="46" width="24.59765625" customWidth="1"/>
    <col min="47" max="47" width="30.73046875" customWidth="1"/>
    <col min="48" max="48" width="14.46484375" customWidth="1"/>
    <col min="49" max="49" width="15.33203125" customWidth="1"/>
    <col min="50" max="50" width="14.796875" customWidth="1"/>
    <col min="51" max="51" width="20.796875" customWidth="1"/>
    <col min="52" max="52" width="18.19921875" customWidth="1"/>
    <col min="53" max="53" width="19.06640625" customWidth="1"/>
    <col min="54" max="54" width="38.265625" customWidth="1"/>
    <col min="55" max="55" width="16.59765625" customWidth="1"/>
    <col min="56" max="56" width="21.59765625" customWidth="1"/>
    <col min="57" max="57" width="22.19921875" customWidth="1"/>
    <col min="58" max="58" width="34.59765625" customWidth="1"/>
    <col min="59" max="59" width="18.46484375" customWidth="1"/>
    <col min="60" max="60" width="30.9296875" customWidth="1"/>
    <col min="61" max="61" width="15.46484375" customWidth="1"/>
    <col min="62" max="62" width="27.9296875" customWidth="1"/>
    <col min="63" max="63" width="22.265625" customWidth="1"/>
    <col min="64" max="64" width="34.73046875" customWidth="1"/>
    <col min="65" max="65" width="13.46484375" customWidth="1"/>
    <col min="66" max="66" width="25.9296875" customWidth="1"/>
    <col min="67" max="67" width="30.265625" customWidth="1"/>
    <col min="68" max="68" width="38.33203125" customWidth="1"/>
    <col min="69" max="69" width="23" customWidth="1"/>
    <col min="70" max="70" width="38.796875" customWidth="1"/>
    <col min="71" max="71" width="29.73046875" customWidth="1"/>
    <col min="72" max="72" width="39.19921875" customWidth="1"/>
    <col min="73" max="73" width="32.796875" customWidth="1"/>
    <col min="74" max="74" width="30.33203125" customWidth="1"/>
    <col min="75" max="75" width="29.53125" customWidth="1"/>
    <col min="76" max="76" width="45.265625" customWidth="1"/>
    <col min="77" max="77" width="24.06640625" customWidth="1"/>
    <col min="78" max="78" width="32.59765625" customWidth="1"/>
    <col min="79" max="79" width="21.9296875" customWidth="1"/>
    <col min="80" max="80" width="37.73046875" customWidth="1"/>
    <col min="81" max="81" width="34" customWidth="1"/>
    <col min="82" max="82" width="48.53125" customWidth="1"/>
    <col min="83" max="83" width="24.73046875" bestFit="1" customWidth="1"/>
    <col min="84" max="84" width="23.53125" style="80" bestFit="1" customWidth="1"/>
    <col min="85" max="85" width="22.19921875" bestFit="1" customWidth="1"/>
    <col min="86" max="86" width="32.33203125" bestFit="1" customWidth="1"/>
    <col min="87" max="87" width="28.265625" bestFit="1" customWidth="1"/>
    <col min="88" max="88" width="27.33203125" bestFit="1" customWidth="1"/>
    <col min="89" max="89" width="13.06640625" bestFit="1" customWidth="1"/>
    <col min="90" max="90" width="32.06640625" bestFit="1" customWidth="1"/>
    <col min="91" max="91" width="32.46484375" bestFit="1" customWidth="1"/>
    <col min="92" max="92" width="31.53125" bestFit="1" customWidth="1"/>
    <col min="93" max="93" width="35.265625" bestFit="1" customWidth="1"/>
    <col min="94" max="94" width="27.19921875" bestFit="1" customWidth="1"/>
    <col min="95" max="95" width="17.9296875" bestFit="1" customWidth="1"/>
    <col min="96" max="96" width="20.53125" bestFit="1" customWidth="1"/>
    <col min="97" max="97" width="25.33203125" bestFit="1" customWidth="1"/>
    <col min="98" max="98" width="26.9296875" bestFit="1" customWidth="1"/>
    <col min="99" max="99" width="29.73046875" bestFit="1" customWidth="1"/>
    <col min="100" max="100" width="22.796875" bestFit="1" customWidth="1"/>
    <col min="101" max="101" width="28.796875" bestFit="1" customWidth="1"/>
    <col min="102" max="102" width="17.53125" bestFit="1" customWidth="1"/>
    <col min="103" max="103" width="27.53125" bestFit="1" customWidth="1"/>
    <col min="104" max="104" width="31.73046875" bestFit="1" customWidth="1"/>
    <col min="105" max="105" width="13.53125" bestFit="1" customWidth="1"/>
    <col min="106" max="106" width="23.73046875" bestFit="1" customWidth="1"/>
    <col min="107" max="107" width="31.59765625" bestFit="1" customWidth="1"/>
    <col min="108" max="108" width="23.19921875" bestFit="1" customWidth="1"/>
    <col min="109" max="109" width="15.73046875" bestFit="1" customWidth="1"/>
    <col min="110" max="110" width="14" bestFit="1" customWidth="1"/>
    <col min="111" max="111" width="17.796875" bestFit="1" customWidth="1"/>
    <col min="112" max="112" width="29.59765625" bestFit="1" customWidth="1"/>
    <col min="113" max="113" width="26" bestFit="1" customWidth="1"/>
    <col min="114" max="114" width="33.19921875" bestFit="1" customWidth="1"/>
    <col min="115" max="115" width="29.796875" bestFit="1" customWidth="1"/>
    <col min="116" max="116" width="16.46484375" bestFit="1" customWidth="1"/>
    <col min="117" max="117" width="26.796875" bestFit="1" customWidth="1"/>
    <col min="118" max="118" width="26" style="80" bestFit="1" customWidth="1"/>
    <col min="119" max="119" width="19.796875" bestFit="1" customWidth="1"/>
    <col min="120" max="120" width="21.53125" bestFit="1" customWidth="1"/>
    <col min="121" max="121" width="24.59765625" bestFit="1" customWidth="1"/>
    <col min="122" max="122" width="25.53125" bestFit="1" customWidth="1"/>
    <col min="123" max="123" width="35.9296875" bestFit="1" customWidth="1"/>
    <col min="124" max="124" width="26" bestFit="1" customWidth="1"/>
    <col min="125" max="125" width="24.33203125" bestFit="1" customWidth="1"/>
    <col min="126" max="126" width="24.33203125" customWidth="1"/>
  </cols>
  <sheetData>
    <row r="2" spans="3:127" x14ac:dyDescent="0.45">
      <c r="E2">
        <v>11110010</v>
      </c>
      <c r="F2">
        <v>11110020</v>
      </c>
      <c r="J2">
        <v>11120060</v>
      </c>
      <c r="K2">
        <v>11120061</v>
      </c>
      <c r="L2">
        <v>11120062</v>
      </c>
      <c r="M2">
        <v>11120080</v>
      </c>
      <c r="N2">
        <v>11120081</v>
      </c>
      <c r="O2">
        <v>11120082</v>
      </c>
      <c r="P2">
        <v>11120200</v>
      </c>
      <c r="W2">
        <v>11210010</v>
      </c>
      <c r="X2">
        <v>11210020</v>
      </c>
      <c r="Y2">
        <v>11210030</v>
      </c>
      <c r="AA2">
        <v>11210050</v>
      </c>
      <c r="AB2">
        <v>11210070</v>
      </c>
      <c r="AC2">
        <v>11210088</v>
      </c>
      <c r="AD2">
        <v>11210097</v>
      </c>
      <c r="AE2">
        <v>11210100</v>
      </c>
      <c r="AF2">
        <v>11219998</v>
      </c>
      <c r="AG2">
        <v>11219999</v>
      </c>
      <c r="AH2">
        <v>11310010</v>
      </c>
      <c r="AI2">
        <v>11310020</v>
      </c>
      <c r="AJ2">
        <v>11310030</v>
      </c>
      <c r="AK2">
        <v>11320010</v>
      </c>
      <c r="AL2">
        <v>11330010</v>
      </c>
      <c r="AM2">
        <v>11340010</v>
      </c>
      <c r="AN2">
        <v>11350030</v>
      </c>
      <c r="AP2">
        <v>11500010</v>
      </c>
      <c r="AR2">
        <v>11500030</v>
      </c>
      <c r="AS2">
        <v>11500040</v>
      </c>
      <c r="AU2">
        <v>11500045</v>
      </c>
      <c r="AV2">
        <v>11500060</v>
      </c>
      <c r="AW2">
        <v>11500066</v>
      </c>
      <c r="AX2">
        <v>11500070</v>
      </c>
      <c r="AZ2">
        <v>11500080</v>
      </c>
      <c r="BA2">
        <v>11500090</v>
      </c>
      <c r="BC2">
        <v>12200010</v>
      </c>
      <c r="BD2">
        <v>12500010</v>
      </c>
      <c r="BE2">
        <v>12500050</v>
      </c>
      <c r="BF2">
        <v>12500060</v>
      </c>
      <c r="BG2">
        <v>12500070</v>
      </c>
      <c r="BH2">
        <v>12500080</v>
      </c>
      <c r="BI2">
        <v>12500090</v>
      </c>
      <c r="BJ2">
        <v>12500100</v>
      </c>
      <c r="BK2">
        <v>12500110</v>
      </c>
      <c r="BL2">
        <v>12500120</v>
      </c>
      <c r="BM2">
        <v>12500130</v>
      </c>
      <c r="BN2">
        <v>12500140</v>
      </c>
      <c r="CF2" s="80">
        <v>12600010</v>
      </c>
      <c r="CG2">
        <v>12600040</v>
      </c>
      <c r="CH2">
        <v>12600050</v>
      </c>
      <c r="CI2">
        <v>21100010</v>
      </c>
      <c r="CJ2">
        <v>21100020</v>
      </c>
      <c r="CK2">
        <v>21100030</v>
      </c>
      <c r="CL2">
        <v>21100050</v>
      </c>
      <c r="CM2">
        <v>21200010</v>
      </c>
      <c r="CN2">
        <v>21200020</v>
      </c>
      <c r="CO2">
        <v>21200030</v>
      </c>
      <c r="CQ2">
        <v>21200050</v>
      </c>
      <c r="CV2">
        <v>21200100</v>
      </c>
      <c r="CX2">
        <v>21200150</v>
      </c>
      <c r="DA2">
        <v>21200170</v>
      </c>
      <c r="DB2">
        <v>21200180</v>
      </c>
      <c r="DC2">
        <v>21200190</v>
      </c>
      <c r="DD2">
        <v>21200200</v>
      </c>
      <c r="DE2">
        <v>22100010</v>
      </c>
      <c r="DF2">
        <v>22100020</v>
      </c>
      <c r="DG2">
        <v>22100040</v>
      </c>
      <c r="DL2">
        <v>22100100</v>
      </c>
      <c r="DM2">
        <v>22220010</v>
      </c>
      <c r="DO2">
        <v>31000010</v>
      </c>
      <c r="DP2">
        <v>31000020</v>
      </c>
      <c r="DQ2">
        <v>32000010</v>
      </c>
    </row>
    <row r="3" spans="3:127" x14ac:dyDescent="0.45">
      <c r="C3" s="209"/>
      <c r="D3" s="209"/>
      <c r="E3" t="s">
        <v>1092</v>
      </c>
      <c r="F3" t="s">
        <v>1093</v>
      </c>
      <c r="G3" t="s">
        <v>1413</v>
      </c>
      <c r="H3" t="s">
        <v>1388</v>
      </c>
      <c r="I3" t="s">
        <v>1414</v>
      </c>
      <c r="J3" t="s">
        <v>1094</v>
      </c>
      <c r="K3" t="s">
        <v>1095</v>
      </c>
      <c r="L3" t="s">
        <v>1096</v>
      </c>
      <c r="M3" t="s">
        <v>1097</v>
      </c>
      <c r="N3" t="s">
        <v>1555</v>
      </c>
      <c r="O3" t="s">
        <v>1098</v>
      </c>
      <c r="P3" t="s">
        <v>1099</v>
      </c>
      <c r="Q3" t="s">
        <v>1415</v>
      </c>
      <c r="R3" t="s">
        <v>1416</v>
      </c>
      <c r="S3" t="s">
        <v>1417</v>
      </c>
      <c r="T3" t="s">
        <v>1418</v>
      </c>
      <c r="U3" t="s">
        <v>1389</v>
      </c>
      <c r="V3" t="s">
        <v>1419</v>
      </c>
      <c r="W3" t="s">
        <v>1100</v>
      </c>
      <c r="X3" t="s">
        <v>1101</v>
      </c>
      <c r="Y3" t="s">
        <v>1102</v>
      </c>
      <c r="Z3" t="s">
        <v>1387</v>
      </c>
      <c r="AA3" t="s">
        <v>1103</v>
      </c>
      <c r="AB3" t="s">
        <v>1104</v>
      </c>
      <c r="AC3" t="s">
        <v>1105</v>
      </c>
      <c r="AD3" t="s">
        <v>1106</v>
      </c>
      <c r="AE3" t="s">
        <v>1107</v>
      </c>
      <c r="AF3" t="s">
        <v>1108</v>
      </c>
      <c r="AG3" t="s">
        <v>1109</v>
      </c>
      <c r="AH3" t="s">
        <v>1110</v>
      </c>
      <c r="AI3" t="s">
        <v>1111</v>
      </c>
      <c r="AJ3" t="s">
        <v>1112</v>
      </c>
      <c r="AK3" t="s">
        <v>1113</v>
      </c>
      <c r="AL3" t="s">
        <v>1114</v>
      </c>
      <c r="AM3" t="s">
        <v>1115</v>
      </c>
      <c r="AN3" t="s">
        <v>1116</v>
      </c>
      <c r="AO3" t="s">
        <v>1392</v>
      </c>
      <c r="AP3" t="s">
        <v>1117</v>
      </c>
      <c r="AQ3" t="s">
        <v>1422</v>
      </c>
      <c r="AR3" t="s">
        <v>1556</v>
      </c>
      <c r="AS3" t="s">
        <v>1118</v>
      </c>
      <c r="AT3" t="s">
        <v>1391</v>
      </c>
      <c r="AU3" t="s">
        <v>1119</v>
      </c>
      <c r="AV3" t="s">
        <v>1120</v>
      </c>
      <c r="AW3" t="s">
        <v>1121</v>
      </c>
      <c r="AX3" t="s">
        <v>1122</v>
      </c>
      <c r="AY3" t="s">
        <v>1390</v>
      </c>
      <c r="AZ3" t="s">
        <v>1123</v>
      </c>
      <c r="BA3" t="s">
        <v>1124</v>
      </c>
      <c r="BB3" t="s">
        <v>1420</v>
      </c>
      <c r="BC3" t="s">
        <v>1125</v>
      </c>
      <c r="BD3" t="s">
        <v>1126</v>
      </c>
      <c r="BE3" t="s">
        <v>1127</v>
      </c>
      <c r="BF3" t="s">
        <v>1128</v>
      </c>
      <c r="BG3" t="s">
        <v>1129</v>
      </c>
      <c r="BH3" t="s">
        <v>1130</v>
      </c>
      <c r="BI3" t="s">
        <v>1131</v>
      </c>
      <c r="BJ3" t="s">
        <v>1132</v>
      </c>
      <c r="BK3" t="s">
        <v>1133</v>
      </c>
      <c r="BL3" t="s">
        <v>1134</v>
      </c>
      <c r="BM3" t="s">
        <v>1135</v>
      </c>
      <c r="BN3" t="s">
        <v>1136</v>
      </c>
      <c r="BO3" t="s">
        <v>1398</v>
      </c>
      <c r="BP3" t="s">
        <v>1399</v>
      </c>
      <c r="BQ3" t="s">
        <v>1400</v>
      </c>
      <c r="BR3" t="s">
        <v>1401</v>
      </c>
      <c r="BS3" t="s">
        <v>1402</v>
      </c>
      <c r="BT3" t="s">
        <v>1403</v>
      </c>
      <c r="BU3" t="s">
        <v>1386</v>
      </c>
      <c r="BV3" t="s">
        <v>1404</v>
      </c>
      <c r="BW3" t="s">
        <v>1405</v>
      </c>
      <c r="BX3" t="s">
        <v>1406</v>
      </c>
      <c r="BY3" t="s">
        <v>1407</v>
      </c>
      <c r="BZ3" t="s">
        <v>1408</v>
      </c>
      <c r="CA3" t="s">
        <v>1409</v>
      </c>
      <c r="CB3" t="s">
        <v>1410</v>
      </c>
      <c r="CC3" t="s">
        <v>1411</v>
      </c>
      <c r="CD3" t="s">
        <v>1412</v>
      </c>
      <c r="CE3" t="s">
        <v>1421</v>
      </c>
      <c r="CF3" s="80" t="s">
        <v>1137</v>
      </c>
      <c r="CG3" t="s">
        <v>1138</v>
      </c>
      <c r="CH3" t="s">
        <v>1139</v>
      </c>
      <c r="CI3" t="s">
        <v>1140</v>
      </c>
      <c r="CJ3" t="s">
        <v>1141</v>
      </c>
      <c r="CK3" t="s">
        <v>1142</v>
      </c>
      <c r="CL3" t="s">
        <v>1143</v>
      </c>
      <c r="CM3" t="s">
        <v>1144</v>
      </c>
      <c r="CN3" t="s">
        <v>1557</v>
      </c>
      <c r="CO3" t="s">
        <v>1145</v>
      </c>
      <c r="CP3" t="s">
        <v>1393</v>
      </c>
      <c r="CQ3" t="s">
        <v>1146</v>
      </c>
      <c r="CR3" t="s">
        <v>1394</v>
      </c>
      <c r="CS3" t="s">
        <v>1423</v>
      </c>
      <c r="CT3" t="s">
        <v>1427</v>
      </c>
      <c r="CU3" t="s">
        <v>1397</v>
      </c>
      <c r="CV3" t="s">
        <v>1147</v>
      </c>
      <c r="CW3" t="s">
        <v>1424</v>
      </c>
      <c r="CX3" t="s">
        <v>1148</v>
      </c>
      <c r="CY3" t="s">
        <v>1428</v>
      </c>
      <c r="CZ3" t="s">
        <v>1429</v>
      </c>
      <c r="DA3" t="s">
        <v>1149</v>
      </c>
      <c r="DB3" t="s">
        <v>1150</v>
      </c>
      <c r="DC3" t="s">
        <v>1151</v>
      </c>
      <c r="DD3" t="s">
        <v>1152</v>
      </c>
      <c r="DE3" t="s">
        <v>1153</v>
      </c>
      <c r="DF3" t="s">
        <v>1154</v>
      </c>
      <c r="DG3" t="s">
        <v>1155</v>
      </c>
      <c r="DH3" t="s">
        <v>1426</v>
      </c>
      <c r="DI3" t="s">
        <v>1425</v>
      </c>
      <c r="DJ3" t="s">
        <v>1395</v>
      </c>
      <c r="DK3" t="s">
        <v>1396</v>
      </c>
      <c r="DL3" t="s">
        <v>1156</v>
      </c>
      <c r="DM3" t="s">
        <v>1157</v>
      </c>
      <c r="DN3" s="80" t="s">
        <v>1532</v>
      </c>
      <c r="DO3" t="s">
        <v>1158</v>
      </c>
      <c r="DP3" t="s">
        <v>1558</v>
      </c>
      <c r="DQ3" t="s">
        <v>1159</v>
      </c>
      <c r="DR3" t="s">
        <v>1384</v>
      </c>
      <c r="DS3" t="s">
        <v>1385</v>
      </c>
      <c r="DT3" t="s">
        <v>1333</v>
      </c>
      <c r="DU3" t="s">
        <v>1537</v>
      </c>
    </row>
    <row r="4" spans="3:127" ht="14.65" thickBot="1" x14ac:dyDescent="0.5">
      <c r="C4" s="209"/>
      <c r="D4" s="209"/>
      <c r="E4" s="16">
        <v>0</v>
      </c>
      <c r="F4" s="16">
        <v>0</v>
      </c>
      <c r="G4" s="16">
        <v>0</v>
      </c>
      <c r="H4" s="16">
        <v>0</v>
      </c>
      <c r="I4" s="16">
        <v>0</v>
      </c>
      <c r="J4" s="16">
        <v>1987999.51</v>
      </c>
      <c r="K4" s="16">
        <v>0</v>
      </c>
      <c r="L4" s="16">
        <v>0</v>
      </c>
      <c r="M4" s="16">
        <v>0</v>
      </c>
      <c r="N4" s="16">
        <v>0</v>
      </c>
      <c r="O4" s="16">
        <v>0</v>
      </c>
      <c r="P4" s="16">
        <v>1224.97</v>
      </c>
      <c r="Q4" s="16">
        <v>0</v>
      </c>
      <c r="R4" s="16">
        <v>0</v>
      </c>
      <c r="S4" s="16">
        <v>0</v>
      </c>
      <c r="T4" s="16">
        <v>0</v>
      </c>
      <c r="U4" s="16">
        <v>0</v>
      </c>
      <c r="V4" s="16">
        <v>0</v>
      </c>
      <c r="W4" s="16">
        <v>0</v>
      </c>
      <c r="X4" s="16">
        <v>0</v>
      </c>
      <c r="Y4" s="16">
        <v>0</v>
      </c>
      <c r="Z4" s="16">
        <v>0</v>
      </c>
      <c r="AA4" s="16">
        <v>0</v>
      </c>
      <c r="AB4" s="16">
        <v>0</v>
      </c>
      <c r="AC4" s="16">
        <v>0</v>
      </c>
      <c r="AD4" s="16">
        <v>0</v>
      </c>
      <c r="AE4" s="16">
        <v>0</v>
      </c>
      <c r="AF4" s="16">
        <v>0</v>
      </c>
      <c r="AG4" s="16">
        <v>0</v>
      </c>
      <c r="AH4" s="16">
        <v>0</v>
      </c>
      <c r="AI4" s="16">
        <v>0</v>
      </c>
      <c r="AJ4" s="16">
        <v>0</v>
      </c>
      <c r="AK4" s="16">
        <v>0</v>
      </c>
      <c r="AL4" s="16">
        <v>0</v>
      </c>
      <c r="AM4" s="16">
        <v>0</v>
      </c>
      <c r="AN4" s="16">
        <v>0</v>
      </c>
      <c r="AO4" s="16">
        <v>0</v>
      </c>
      <c r="AP4" s="16">
        <v>127.4</v>
      </c>
      <c r="AQ4" s="16">
        <v>0</v>
      </c>
      <c r="AR4" s="16">
        <v>0</v>
      </c>
      <c r="AS4" s="16">
        <v>184498.02</v>
      </c>
      <c r="AT4" s="16">
        <v>0</v>
      </c>
      <c r="AU4" s="16">
        <v>0</v>
      </c>
      <c r="AV4" s="16">
        <v>0</v>
      </c>
      <c r="AW4" s="16">
        <v>0</v>
      </c>
      <c r="AX4" s="16">
        <v>0</v>
      </c>
      <c r="AY4" s="16">
        <v>0</v>
      </c>
      <c r="AZ4" s="16">
        <v>46820004</v>
      </c>
      <c r="BA4" s="16">
        <v>0</v>
      </c>
      <c r="BB4" s="16">
        <v>0</v>
      </c>
      <c r="BC4" s="16">
        <v>0</v>
      </c>
      <c r="BD4" s="16">
        <v>0</v>
      </c>
      <c r="BE4" s="16">
        <v>0</v>
      </c>
      <c r="BF4" s="16">
        <v>0</v>
      </c>
      <c r="BG4" s="16">
        <v>0</v>
      </c>
      <c r="BH4" s="16">
        <v>0</v>
      </c>
      <c r="BI4" s="16">
        <v>0</v>
      </c>
      <c r="BJ4" s="16">
        <v>0</v>
      </c>
      <c r="BK4" s="16">
        <v>0</v>
      </c>
      <c r="BL4" s="16">
        <v>0</v>
      </c>
      <c r="BM4" s="16">
        <v>0</v>
      </c>
      <c r="BN4" s="16">
        <v>0</v>
      </c>
      <c r="BO4" s="16">
        <v>0</v>
      </c>
      <c r="BP4" s="16">
        <v>0</v>
      </c>
      <c r="BQ4" s="16">
        <v>0</v>
      </c>
      <c r="BR4" s="16">
        <v>0</v>
      </c>
      <c r="BS4" s="16">
        <v>0</v>
      </c>
      <c r="BT4" s="16">
        <v>0</v>
      </c>
      <c r="BU4" s="16">
        <v>0</v>
      </c>
      <c r="BV4" s="16">
        <v>0</v>
      </c>
      <c r="BW4" s="16">
        <v>0</v>
      </c>
      <c r="BX4" s="16">
        <v>0</v>
      </c>
      <c r="BY4" s="16">
        <v>0</v>
      </c>
      <c r="BZ4" s="16">
        <v>0</v>
      </c>
      <c r="CA4" s="16">
        <v>0</v>
      </c>
      <c r="CB4" s="16">
        <v>0</v>
      </c>
      <c r="CC4" s="16">
        <v>0</v>
      </c>
      <c r="CD4" s="16">
        <v>0</v>
      </c>
      <c r="CE4" s="16">
        <v>0</v>
      </c>
      <c r="CF4" s="81">
        <v>0</v>
      </c>
      <c r="CG4" s="16">
        <v>0</v>
      </c>
      <c r="CH4" s="16">
        <v>0</v>
      </c>
      <c r="CI4" s="16">
        <v>0</v>
      </c>
      <c r="CJ4" s="16">
        <v>-1947.4</v>
      </c>
      <c r="CK4" s="16">
        <v>0</v>
      </c>
      <c r="CL4" s="16">
        <v>0</v>
      </c>
      <c r="CM4" s="16">
        <v>0</v>
      </c>
      <c r="CN4" s="16">
        <v>0</v>
      </c>
      <c r="CO4" s="16">
        <v>0</v>
      </c>
      <c r="CP4" s="16">
        <v>0</v>
      </c>
      <c r="CQ4" s="16">
        <v>-232689.42</v>
      </c>
      <c r="CR4" s="16">
        <v>0</v>
      </c>
      <c r="CS4" s="16">
        <v>0</v>
      </c>
      <c r="CT4" s="16">
        <v>0</v>
      </c>
      <c r="CU4" s="16">
        <v>0</v>
      </c>
      <c r="CV4" s="16">
        <v>0</v>
      </c>
      <c r="CW4" s="16">
        <v>0</v>
      </c>
      <c r="CX4" s="16">
        <v>0</v>
      </c>
      <c r="CY4" s="16">
        <v>0</v>
      </c>
      <c r="CZ4" s="16">
        <v>0</v>
      </c>
      <c r="DA4" s="16">
        <v>0</v>
      </c>
      <c r="DB4" s="16">
        <v>0</v>
      </c>
      <c r="DC4" s="16">
        <v>0</v>
      </c>
      <c r="DD4" s="16">
        <v>0</v>
      </c>
      <c r="DE4" s="16">
        <v>0</v>
      </c>
      <c r="DF4" s="16">
        <v>0</v>
      </c>
      <c r="DG4" s="16">
        <v>0</v>
      </c>
      <c r="DH4" s="16">
        <v>0</v>
      </c>
      <c r="DI4" s="16">
        <v>0</v>
      </c>
      <c r="DJ4" s="16">
        <v>0</v>
      </c>
      <c r="DK4" s="16">
        <v>0</v>
      </c>
      <c r="DL4" s="16">
        <v>0</v>
      </c>
      <c r="DM4" s="16">
        <v>0</v>
      </c>
      <c r="DN4" s="81">
        <v>0</v>
      </c>
      <c r="DO4" s="16">
        <v>-48820004</v>
      </c>
      <c r="DP4" s="16">
        <v>0</v>
      </c>
      <c r="DQ4" s="16">
        <v>0</v>
      </c>
      <c r="DR4" s="16">
        <v>0</v>
      </c>
      <c r="DS4" s="16">
        <v>0</v>
      </c>
      <c r="DT4" s="16">
        <v>0</v>
      </c>
      <c r="DU4" s="16">
        <v>60786.920000000013</v>
      </c>
      <c r="DV4" s="16"/>
      <c r="DW4" s="143">
        <f>SUM(E4:DU4)</f>
        <v>-1.7753336578607559E-9</v>
      </c>
    </row>
    <row r="5" spans="3:127" x14ac:dyDescent="0.45">
      <c r="C5" s="210" t="s">
        <v>1765</v>
      </c>
      <c r="D5" s="210"/>
    </row>
    <row r="6" spans="3:127" x14ac:dyDescent="0.45">
      <c r="C6" t="s">
        <v>1092</v>
      </c>
      <c r="D6" s="16" t="e" vm="2">
        <f ca="1">_xlfn.XLOOKUP(C6,'Consol (TB)'!C:C,'Consol (TB)'!L:L,VALUE("0"),0,1)</f>
        <v>#NAME?</v>
      </c>
      <c r="E6" s="142" t="e" vm="1">
        <f ca="1">E$4-$D6</f>
        <v>#NAME?</v>
      </c>
      <c r="F6" s="142"/>
      <c r="G6" s="142"/>
      <c r="H6" s="142"/>
      <c r="I6" s="142"/>
      <c r="J6" s="142"/>
      <c r="K6" s="142"/>
      <c r="L6" s="142"/>
      <c r="M6" s="142"/>
      <c r="N6" s="142"/>
      <c r="O6" s="142"/>
      <c r="P6" s="142"/>
      <c r="Q6" s="142"/>
      <c r="R6" s="142"/>
      <c r="S6" s="142"/>
      <c r="T6" s="142"/>
      <c r="U6" s="142"/>
      <c r="V6" s="142"/>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c r="BS6" s="19"/>
      <c r="BT6" s="19"/>
      <c r="BU6" s="19"/>
      <c r="BV6" s="19"/>
      <c r="BW6" s="19"/>
      <c r="BX6" s="19"/>
      <c r="BY6" s="19"/>
      <c r="BZ6" s="19"/>
      <c r="CA6" s="19"/>
      <c r="CB6" s="19"/>
      <c r="CC6" s="19"/>
      <c r="CD6" s="19"/>
      <c r="CE6" s="19"/>
      <c r="CF6" s="81"/>
      <c r="CG6" s="19"/>
      <c r="CH6" s="19"/>
      <c r="CI6" s="19"/>
      <c r="CJ6" s="19"/>
      <c r="CK6" s="19"/>
      <c r="CL6" s="19"/>
      <c r="CM6" s="19"/>
      <c r="CN6" s="19"/>
      <c r="CO6" s="19"/>
      <c r="CP6" s="19"/>
      <c r="CQ6" s="19"/>
      <c r="CR6" s="19"/>
      <c r="CS6" s="19"/>
      <c r="CT6" s="19"/>
      <c r="CU6" s="19"/>
      <c r="CV6" s="19"/>
      <c r="CW6" s="19"/>
      <c r="CX6" s="19"/>
      <c r="CY6" s="19"/>
      <c r="CZ6" s="19"/>
      <c r="DA6" s="19"/>
      <c r="DB6" s="19"/>
      <c r="DC6" s="19"/>
      <c r="DD6" s="19"/>
      <c r="DE6" s="19"/>
      <c r="DF6" s="19"/>
      <c r="DG6" s="19"/>
      <c r="DH6" s="19"/>
      <c r="DI6" s="19"/>
      <c r="DJ6" s="19"/>
      <c r="DK6" s="19"/>
      <c r="DL6" s="19"/>
      <c r="DM6" s="19"/>
      <c r="DN6" s="81"/>
      <c r="DO6" s="19"/>
      <c r="DP6" s="19"/>
      <c r="DQ6" s="19"/>
      <c r="DR6" s="19"/>
      <c r="DS6" s="19"/>
      <c r="DT6" s="19"/>
      <c r="DU6" s="19"/>
      <c r="DV6" s="19"/>
    </row>
    <row r="7" spans="3:127" x14ac:dyDescent="0.45">
      <c r="C7" t="s">
        <v>1093</v>
      </c>
      <c r="D7" s="16" t="e" vm="2">
        <f ca="1">_xlfn.XLOOKUP(C7,'Consol (TB)'!C:C,'Consol (TB)'!L:L,VALUE("0"),0,1)</f>
        <v>#NAME?</v>
      </c>
      <c r="E7" s="142"/>
      <c r="F7" s="142" t="e" vm="1">
        <f ca="1">F$4-$D7</f>
        <v>#NAME?</v>
      </c>
      <c r="G7" s="142"/>
      <c r="H7" s="142"/>
      <c r="I7" s="142"/>
      <c r="J7" s="142"/>
      <c r="K7" s="142"/>
      <c r="L7" s="142"/>
      <c r="M7" s="142"/>
      <c r="N7" s="142"/>
      <c r="O7" s="142"/>
      <c r="P7" s="142"/>
      <c r="Q7" s="142"/>
      <c r="R7" s="142"/>
      <c r="S7" s="142"/>
      <c r="T7" s="142"/>
      <c r="U7" s="142"/>
      <c r="V7" s="142"/>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81"/>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81"/>
      <c r="DO7" s="16"/>
      <c r="DP7" s="16"/>
      <c r="DQ7" s="16"/>
      <c r="DR7" s="16"/>
      <c r="DS7" s="16"/>
      <c r="DT7" s="16"/>
      <c r="DU7" s="16"/>
      <c r="DV7" s="16"/>
    </row>
    <row r="8" spans="3:127" x14ac:dyDescent="0.45">
      <c r="C8" t="s">
        <v>1413</v>
      </c>
      <c r="D8" s="16" t="e" vm="2">
        <f ca="1">_xlfn.XLOOKUP(C8,'Consol (TB)'!C:C,'Consol (TB)'!L:L,VALUE("0"),0,1)</f>
        <v>#NAME?</v>
      </c>
      <c r="E8" s="142"/>
      <c r="F8" s="142"/>
      <c r="G8" s="142" t="e" vm="1">
        <f ca="1">G$4-$D8</f>
        <v>#NAME?</v>
      </c>
      <c r="H8" s="142"/>
      <c r="I8" s="142"/>
      <c r="J8" s="142"/>
      <c r="K8" s="142"/>
      <c r="L8" s="142"/>
      <c r="M8" s="142"/>
      <c r="N8" s="142"/>
      <c r="O8" s="142"/>
      <c r="P8" s="142"/>
      <c r="Q8" s="142"/>
      <c r="R8" s="142"/>
      <c r="S8" s="142"/>
      <c r="T8" s="142"/>
      <c r="U8" s="142"/>
      <c r="V8" s="142"/>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81"/>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81"/>
      <c r="DO8" s="16"/>
      <c r="DP8" s="16"/>
      <c r="DQ8" s="16"/>
      <c r="DR8" s="16"/>
      <c r="DS8" s="16"/>
      <c r="DT8" s="16"/>
      <c r="DU8" s="16"/>
      <c r="DV8" s="16"/>
    </row>
    <row r="9" spans="3:127" x14ac:dyDescent="0.45">
      <c r="C9" t="s">
        <v>1388</v>
      </c>
      <c r="D9" s="16" t="e" vm="2">
        <f ca="1">_xlfn.XLOOKUP(C9,'Consol (TB)'!C:C,'Consol (TB)'!L:L,VALUE("0"),0,1)</f>
        <v>#NAME?</v>
      </c>
      <c r="E9" s="142"/>
      <c r="F9" s="142"/>
      <c r="G9" s="142"/>
      <c r="H9" s="142" t="e" vm="1">
        <f ca="1">H$4-$D9</f>
        <v>#NAME?</v>
      </c>
      <c r="I9" s="142"/>
      <c r="J9" s="142"/>
      <c r="K9" s="142"/>
      <c r="L9" s="142"/>
      <c r="M9" s="142"/>
      <c r="N9" s="142"/>
      <c r="O9" s="142"/>
      <c r="P9" s="142"/>
      <c r="Q9" s="142"/>
      <c r="R9" s="142"/>
      <c r="S9" s="142"/>
      <c r="T9" s="142"/>
      <c r="U9" s="142"/>
      <c r="V9" s="142"/>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81"/>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81"/>
      <c r="DO9" s="16"/>
      <c r="DP9" s="16"/>
      <c r="DQ9" s="16"/>
      <c r="DR9" s="16"/>
      <c r="DS9" s="16"/>
      <c r="DT9" s="16"/>
      <c r="DU9" s="16"/>
      <c r="DV9" s="16"/>
    </row>
    <row r="10" spans="3:127" x14ac:dyDescent="0.45">
      <c r="C10" t="s">
        <v>1414</v>
      </c>
      <c r="D10" s="16" t="e" vm="2">
        <f ca="1">_xlfn.XLOOKUP(C10,'Consol (TB)'!C:C,'Consol (TB)'!L:L,VALUE("0"),0,1)</f>
        <v>#NAME?</v>
      </c>
      <c r="E10" s="142"/>
      <c r="F10" s="142"/>
      <c r="G10" s="142"/>
      <c r="H10" s="142"/>
      <c r="I10" s="142" t="e" vm="1">
        <f ca="1">I$4-$D10</f>
        <v>#NAME?</v>
      </c>
      <c r="J10" s="142"/>
      <c r="K10" s="142"/>
      <c r="L10" s="142"/>
      <c r="M10" s="142"/>
      <c r="N10" s="142"/>
      <c r="O10" s="142"/>
      <c r="P10" s="142"/>
      <c r="Q10" s="142"/>
      <c r="R10" s="142"/>
      <c r="S10" s="142"/>
      <c r="T10" s="142"/>
      <c r="U10" s="142"/>
      <c r="V10" s="142"/>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81"/>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81"/>
      <c r="DO10" s="16"/>
      <c r="DP10" s="16"/>
      <c r="DQ10" s="16"/>
      <c r="DR10" s="16"/>
      <c r="DS10" s="16"/>
      <c r="DT10" s="16"/>
      <c r="DU10" s="16"/>
      <c r="DV10" s="16"/>
    </row>
    <row r="11" spans="3:127" x14ac:dyDescent="0.45">
      <c r="C11" t="s">
        <v>1094</v>
      </c>
      <c r="D11" s="16" t="e" vm="2">
        <f ca="1">_xlfn.XLOOKUP(C11,'Consol (TB)'!C:C,'Consol (TB)'!L:L,VALUE("0"),0,1)</f>
        <v>#NAME?</v>
      </c>
      <c r="E11" s="142"/>
      <c r="F11" s="142"/>
      <c r="G11" s="142"/>
      <c r="H11" s="142"/>
      <c r="I11" s="142"/>
      <c r="J11" s="142" t="e" vm="1">
        <f ca="1">J$4-$D11</f>
        <v>#NAME?</v>
      </c>
      <c r="K11" s="142"/>
      <c r="L11" s="142"/>
      <c r="M11" s="142"/>
      <c r="N11" s="142"/>
      <c r="O11" s="142"/>
      <c r="P11" s="142"/>
      <c r="Q11" s="142"/>
      <c r="R11" s="142"/>
      <c r="S11" s="142"/>
      <c r="T11" s="142"/>
      <c r="U11" s="142"/>
      <c r="V11" s="142"/>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81"/>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81"/>
      <c r="DO11" s="16"/>
      <c r="DP11" s="16"/>
      <c r="DQ11" s="16"/>
      <c r="DR11" s="16"/>
      <c r="DS11" s="16"/>
      <c r="DT11" s="16"/>
      <c r="DU11" s="16"/>
      <c r="DV11" s="16"/>
    </row>
    <row r="12" spans="3:127" x14ac:dyDescent="0.45">
      <c r="C12" t="s">
        <v>1095</v>
      </c>
      <c r="D12" s="16" t="e" vm="2">
        <f ca="1">_xlfn.XLOOKUP(C12,'Consol (TB)'!C:C,'Consol (TB)'!L:L,VALUE("0"),0,1)</f>
        <v>#NAME?</v>
      </c>
      <c r="E12" s="142"/>
      <c r="F12" s="142"/>
      <c r="G12" s="142"/>
      <c r="H12" s="142"/>
      <c r="I12" s="142"/>
      <c r="J12" s="142"/>
      <c r="K12" s="142" t="e" vm="1">
        <f ca="1">K$4-$D12</f>
        <v>#NAME?</v>
      </c>
      <c r="L12" s="142"/>
      <c r="M12" s="142"/>
      <c r="N12" s="142"/>
      <c r="O12" s="142"/>
      <c r="P12" s="142"/>
      <c r="Q12" s="142"/>
      <c r="R12" s="142"/>
      <c r="S12" s="142"/>
      <c r="T12" s="142"/>
      <c r="U12" s="142"/>
      <c r="V12" s="142"/>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81"/>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81"/>
      <c r="DO12" s="16"/>
      <c r="DP12" s="16"/>
      <c r="DQ12" s="16"/>
      <c r="DR12" s="16"/>
      <c r="DS12" s="16"/>
      <c r="DT12" s="16"/>
      <c r="DU12" s="16"/>
      <c r="DV12" s="16"/>
    </row>
    <row r="13" spans="3:127" x14ac:dyDescent="0.45">
      <c r="C13" t="s">
        <v>1096</v>
      </c>
      <c r="D13" s="16" t="e" vm="2">
        <f ca="1">_xlfn.XLOOKUP(C13,'Consol (TB)'!C:C,'Consol (TB)'!L:L,VALUE("0"),0,1)</f>
        <v>#NAME?</v>
      </c>
      <c r="E13" s="142"/>
      <c r="F13" s="142"/>
      <c r="G13" s="142"/>
      <c r="H13" s="142"/>
      <c r="I13" s="142"/>
      <c r="J13" s="142"/>
      <c r="K13" s="142"/>
      <c r="L13" s="142" t="e" vm="1">
        <f ca="1">L$4-$D13</f>
        <v>#NAME?</v>
      </c>
      <c r="M13" s="142"/>
      <c r="N13" s="142"/>
      <c r="O13" s="142"/>
      <c r="P13" s="142"/>
      <c r="Q13" s="142"/>
      <c r="R13" s="142"/>
      <c r="S13" s="142"/>
      <c r="T13" s="142"/>
      <c r="U13" s="142"/>
      <c r="V13" s="142"/>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81"/>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81"/>
      <c r="DO13" s="16"/>
      <c r="DP13" s="16"/>
      <c r="DQ13" s="16"/>
      <c r="DR13" s="16"/>
      <c r="DS13" s="16"/>
      <c r="DT13" s="16"/>
      <c r="DU13" s="16"/>
      <c r="DV13" s="16"/>
    </row>
    <row r="14" spans="3:127" x14ac:dyDescent="0.45">
      <c r="C14" t="s">
        <v>1097</v>
      </c>
      <c r="D14" s="16" t="e" vm="2">
        <f ca="1">_xlfn.XLOOKUP(C14,'Consol (TB)'!C:C,'Consol (TB)'!L:L,VALUE("0"),0,1)</f>
        <v>#NAME?</v>
      </c>
      <c r="E14" s="142"/>
      <c r="F14" s="142"/>
      <c r="G14" s="142"/>
      <c r="H14" s="142"/>
      <c r="I14" s="142"/>
      <c r="J14" s="142"/>
      <c r="K14" s="142"/>
      <c r="L14" s="142"/>
      <c r="M14" s="142" t="e" vm="1">
        <f ca="1">M$4-$D14</f>
        <v>#NAME?</v>
      </c>
      <c r="N14" s="142"/>
      <c r="O14" s="142"/>
      <c r="P14" s="142"/>
      <c r="Q14" s="142"/>
      <c r="R14" s="142"/>
      <c r="S14" s="142"/>
      <c r="T14" s="142"/>
      <c r="U14" s="142"/>
      <c r="V14" s="142"/>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81"/>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81"/>
      <c r="DO14" s="16"/>
      <c r="DP14" s="16"/>
      <c r="DQ14" s="16"/>
      <c r="DR14" s="16"/>
      <c r="DS14" s="16"/>
      <c r="DT14" s="16"/>
      <c r="DU14" s="16"/>
      <c r="DV14" s="16"/>
    </row>
    <row r="15" spans="3:127" x14ac:dyDescent="0.45">
      <c r="C15" t="s">
        <v>1555</v>
      </c>
      <c r="D15" s="16" t="e" vm="2">
        <f ca="1">_xlfn.XLOOKUP(C15,'Consol (TB)'!C:C,'Consol (TB)'!L:L,VALUE("0"),0,1)</f>
        <v>#NAME?</v>
      </c>
      <c r="E15" s="142"/>
      <c r="F15" s="142"/>
      <c r="G15" s="142"/>
      <c r="H15" s="142"/>
      <c r="I15" s="142"/>
      <c r="J15" s="142"/>
      <c r="K15" s="142"/>
      <c r="L15" s="142"/>
      <c r="M15" s="142"/>
      <c r="N15" s="142" t="e" vm="1">
        <f ca="1">N$4-$D15</f>
        <v>#NAME?</v>
      </c>
      <c r="O15" s="142"/>
      <c r="P15" s="142"/>
      <c r="Q15" s="142"/>
      <c r="R15" s="142"/>
      <c r="S15" s="142"/>
      <c r="T15" s="142"/>
      <c r="U15" s="142"/>
      <c r="V15" s="142"/>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81"/>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81"/>
      <c r="DO15" s="16"/>
      <c r="DP15" s="16"/>
      <c r="DQ15" s="16"/>
      <c r="DR15" s="16"/>
      <c r="DS15" s="16"/>
      <c r="DT15" s="16"/>
      <c r="DU15" s="16"/>
      <c r="DV15" s="16"/>
    </row>
    <row r="16" spans="3:127" x14ac:dyDescent="0.45">
      <c r="C16" t="s">
        <v>1098</v>
      </c>
      <c r="D16" s="16" t="e" vm="2">
        <f ca="1">_xlfn.XLOOKUP(C16,'Consol (TB)'!C:C,'Consol (TB)'!L:L,VALUE("0"),0,1)</f>
        <v>#NAME?</v>
      </c>
      <c r="E16" s="142"/>
      <c r="F16" s="142"/>
      <c r="G16" s="142"/>
      <c r="H16" s="142"/>
      <c r="I16" s="142"/>
      <c r="J16" s="142"/>
      <c r="K16" s="142"/>
      <c r="L16" s="142"/>
      <c r="M16" s="142"/>
      <c r="N16" s="142"/>
      <c r="O16" s="142" t="e" vm="1">
        <f ca="1">O$4-$D16</f>
        <v>#NAME?</v>
      </c>
      <c r="P16" s="142"/>
      <c r="Q16" s="142"/>
      <c r="R16" s="142"/>
      <c r="S16" s="142"/>
      <c r="T16" s="142"/>
      <c r="U16" s="142"/>
      <c r="V16" s="142"/>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81"/>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81"/>
      <c r="DO16" s="16"/>
      <c r="DP16" s="16"/>
      <c r="DQ16" s="16"/>
      <c r="DR16" s="16"/>
      <c r="DS16" s="16"/>
      <c r="DT16" s="16"/>
      <c r="DU16" s="16"/>
      <c r="DV16" s="16"/>
    </row>
    <row r="17" spans="3:126" x14ac:dyDescent="0.45">
      <c r="C17" t="s">
        <v>1099</v>
      </c>
      <c r="D17" s="16" t="e" vm="2">
        <f ca="1">_xlfn.XLOOKUP(C17,'Consol (TB)'!C:C,'Consol (TB)'!L:L,VALUE("0"),0,1)</f>
        <v>#NAME?</v>
      </c>
      <c r="E17" s="142"/>
      <c r="F17" s="142"/>
      <c r="G17" s="142"/>
      <c r="H17" s="142"/>
      <c r="I17" s="142"/>
      <c r="J17" s="142"/>
      <c r="K17" s="142"/>
      <c r="L17" s="142"/>
      <c r="M17" s="142"/>
      <c r="N17" s="142"/>
      <c r="O17" s="142"/>
      <c r="P17" s="142" t="e" vm="1">
        <f ca="1">P$4-$D17</f>
        <v>#NAME?</v>
      </c>
      <c r="Q17" s="142"/>
      <c r="R17" s="142"/>
      <c r="S17" s="142"/>
      <c r="T17" s="142"/>
      <c r="U17" s="142"/>
      <c r="V17" s="142"/>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81"/>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81"/>
      <c r="DO17" s="16"/>
      <c r="DP17" s="16"/>
      <c r="DQ17" s="16"/>
      <c r="DR17" s="16"/>
      <c r="DS17" s="16"/>
      <c r="DT17" s="16"/>
      <c r="DU17" s="16"/>
      <c r="DV17" s="16"/>
    </row>
    <row r="18" spans="3:126" x14ac:dyDescent="0.45">
      <c r="C18" t="s">
        <v>1415</v>
      </c>
      <c r="D18" s="16" t="e" vm="2">
        <f ca="1">_xlfn.XLOOKUP(C18,'Consol (TB)'!C:C,'Consol (TB)'!L:L,VALUE("0"),0,1)</f>
        <v>#NAME?</v>
      </c>
      <c r="E18" s="142"/>
      <c r="F18" s="142"/>
      <c r="G18" s="142"/>
      <c r="H18" s="142"/>
      <c r="I18" s="142"/>
      <c r="J18" s="142"/>
      <c r="K18" s="142"/>
      <c r="L18" s="142"/>
      <c r="M18" s="142"/>
      <c r="N18" s="142"/>
      <c r="O18" s="142"/>
      <c r="P18" s="142"/>
      <c r="Q18" s="142" t="e" vm="1">
        <f ca="1">Q$4-$D18</f>
        <v>#NAME?</v>
      </c>
      <c r="R18" s="142"/>
      <c r="S18" s="142"/>
      <c r="T18" s="142"/>
      <c r="U18" s="142"/>
      <c r="V18" s="142"/>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81"/>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81"/>
      <c r="DO18" s="16"/>
      <c r="DP18" s="16"/>
      <c r="DQ18" s="16"/>
      <c r="DR18" s="16"/>
      <c r="DS18" s="16"/>
      <c r="DT18" s="16"/>
      <c r="DU18" s="16"/>
      <c r="DV18" s="16"/>
    </row>
    <row r="19" spans="3:126" x14ac:dyDescent="0.45">
      <c r="C19" t="s">
        <v>1416</v>
      </c>
      <c r="D19" s="16" t="e" vm="2">
        <f ca="1">_xlfn.XLOOKUP(C19,'Consol (TB)'!C:C,'Consol (TB)'!L:L,VALUE("0"),0,1)</f>
        <v>#NAME?</v>
      </c>
      <c r="E19" s="142"/>
      <c r="F19" s="142"/>
      <c r="G19" s="142"/>
      <c r="H19" s="142"/>
      <c r="I19" s="142"/>
      <c r="J19" s="142"/>
      <c r="K19" s="142"/>
      <c r="L19" s="142"/>
      <c r="M19" s="142"/>
      <c r="N19" s="142"/>
      <c r="O19" s="142"/>
      <c r="P19" s="142"/>
      <c r="Q19" s="142"/>
      <c r="R19" s="142" t="e" vm="1">
        <f ca="1">R$4-$D19</f>
        <v>#NAME?</v>
      </c>
      <c r="S19" s="142"/>
      <c r="T19" s="142"/>
      <c r="U19" s="142"/>
      <c r="V19" s="142"/>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81"/>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81"/>
      <c r="DO19" s="16"/>
      <c r="DP19" s="16"/>
      <c r="DQ19" s="16"/>
      <c r="DR19" s="16"/>
      <c r="DS19" s="16"/>
      <c r="DT19" s="16"/>
      <c r="DU19" s="16"/>
      <c r="DV19" s="16"/>
    </row>
    <row r="20" spans="3:126" x14ac:dyDescent="0.45">
      <c r="C20" t="s">
        <v>1417</v>
      </c>
      <c r="D20" s="16" t="e" vm="2">
        <f ca="1">_xlfn.XLOOKUP(C20,'Consol (TB)'!C:C,'Consol (TB)'!L:L,VALUE("0"),0,1)</f>
        <v>#NAME?</v>
      </c>
      <c r="E20" s="142"/>
      <c r="F20" s="142"/>
      <c r="G20" s="142"/>
      <c r="H20" s="142"/>
      <c r="I20" s="142"/>
      <c r="J20" s="142"/>
      <c r="K20" s="142"/>
      <c r="L20" s="142"/>
      <c r="M20" s="142"/>
      <c r="N20" s="142"/>
      <c r="O20" s="142"/>
      <c r="P20" s="142"/>
      <c r="Q20" s="142"/>
      <c r="R20" s="142"/>
      <c r="S20" s="142" t="e" vm="1">
        <f ca="1">S$4-$D20</f>
        <v>#NAME?</v>
      </c>
      <c r="T20" s="142"/>
      <c r="U20" s="142"/>
      <c r="V20" s="142"/>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81"/>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81"/>
      <c r="DO20" s="16"/>
      <c r="DP20" s="16"/>
      <c r="DQ20" s="16"/>
      <c r="DR20" s="16"/>
      <c r="DS20" s="16"/>
      <c r="DT20" s="16"/>
      <c r="DU20" s="16"/>
      <c r="DV20" s="16"/>
    </row>
    <row r="21" spans="3:126" x14ac:dyDescent="0.45">
      <c r="C21" t="s">
        <v>1418</v>
      </c>
      <c r="D21" s="16" t="e" vm="2">
        <f ca="1">_xlfn.XLOOKUP(C21,'Consol (TB)'!C:C,'Consol (TB)'!L:L,VALUE("0"),0,1)</f>
        <v>#NAME?</v>
      </c>
      <c r="E21" s="142"/>
      <c r="F21" s="142"/>
      <c r="G21" s="142"/>
      <c r="H21" s="142"/>
      <c r="I21" s="142"/>
      <c r="J21" s="142"/>
      <c r="K21" s="142"/>
      <c r="L21" s="142"/>
      <c r="M21" s="142"/>
      <c r="N21" s="142"/>
      <c r="O21" s="142"/>
      <c r="P21" s="142"/>
      <c r="Q21" s="142"/>
      <c r="R21" s="142"/>
      <c r="S21" s="142"/>
      <c r="T21" s="142" t="e" vm="1">
        <f ca="1">T$4-$D21</f>
        <v>#NAME?</v>
      </c>
      <c r="U21" s="142"/>
      <c r="V21" s="142"/>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81"/>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81"/>
      <c r="DO21" s="16"/>
      <c r="DP21" s="16"/>
      <c r="DQ21" s="16"/>
      <c r="DR21" s="16"/>
      <c r="DS21" s="16"/>
      <c r="DT21" s="16"/>
      <c r="DU21" s="16"/>
      <c r="DV21" s="16"/>
    </row>
    <row r="22" spans="3:126" x14ac:dyDescent="0.45">
      <c r="C22" t="s">
        <v>1389</v>
      </c>
      <c r="D22" s="16" t="e" vm="2">
        <f ca="1">_xlfn.XLOOKUP(C22,'Consol (TB)'!C:C,'Consol (TB)'!L:L,VALUE("0"),0,1)</f>
        <v>#NAME?</v>
      </c>
      <c r="E22" s="142"/>
      <c r="F22" s="142"/>
      <c r="G22" s="142"/>
      <c r="H22" s="142"/>
      <c r="I22" s="142"/>
      <c r="J22" s="142"/>
      <c r="K22" s="142"/>
      <c r="L22" s="142"/>
      <c r="M22" s="142"/>
      <c r="N22" s="142"/>
      <c r="O22" s="142"/>
      <c r="P22" s="142"/>
      <c r="Q22" s="142"/>
      <c r="R22" s="142"/>
      <c r="S22" s="142"/>
      <c r="T22" s="142"/>
      <c r="U22" s="142" t="e" vm="1">
        <f ca="1">U$4-$D22</f>
        <v>#NAME?</v>
      </c>
      <c r="V22" s="142"/>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81"/>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81"/>
      <c r="DO22" s="16"/>
      <c r="DP22" s="16"/>
      <c r="DQ22" s="16"/>
      <c r="DR22" s="16"/>
      <c r="DS22" s="16"/>
      <c r="DT22" s="16"/>
      <c r="DU22" s="16"/>
      <c r="DV22" s="16"/>
    </row>
    <row r="23" spans="3:126" x14ac:dyDescent="0.45">
      <c r="C23" t="s">
        <v>1419</v>
      </c>
      <c r="D23" s="16" t="e" vm="2">
        <f ca="1">_xlfn.XLOOKUP(C23,'Consol (TB)'!C:C,'Consol (TB)'!L:L,VALUE("0"),0,1)</f>
        <v>#NAME?</v>
      </c>
      <c r="E23" s="142"/>
      <c r="F23" s="142"/>
      <c r="G23" s="142"/>
      <c r="H23" s="142"/>
      <c r="I23" s="142"/>
      <c r="J23" s="142"/>
      <c r="K23" s="142"/>
      <c r="L23" s="142"/>
      <c r="M23" s="142"/>
      <c r="N23" s="142"/>
      <c r="O23" s="142"/>
      <c r="P23" s="142"/>
      <c r="Q23" s="142"/>
      <c r="R23" s="142"/>
      <c r="S23" s="142"/>
      <c r="T23" s="142"/>
      <c r="U23" s="142"/>
      <c r="V23" s="142" t="e" vm="1">
        <f ca="1">V$4-$D23</f>
        <v>#NAME?</v>
      </c>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81"/>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81"/>
      <c r="DO23" s="16"/>
      <c r="DP23" s="16"/>
      <c r="DQ23" s="16"/>
      <c r="DR23" s="16"/>
      <c r="DS23" s="16"/>
      <c r="DT23" s="16"/>
      <c r="DU23" s="16"/>
      <c r="DV23" s="16"/>
    </row>
    <row r="24" spans="3:126" x14ac:dyDescent="0.45">
      <c r="C24" t="s">
        <v>1100</v>
      </c>
      <c r="D24" s="16" t="e" vm="2">
        <f ca="1">_xlfn.XLOOKUP(C24,'Consol (TB)'!C:C,'Consol (TB)'!L:L,VALUE("0"),0,1)</f>
        <v>#NAME?</v>
      </c>
      <c r="E24" s="16"/>
      <c r="F24" s="16"/>
      <c r="G24" s="16"/>
      <c r="H24" s="16"/>
      <c r="I24" s="16"/>
      <c r="J24" s="16"/>
      <c r="K24" s="16"/>
      <c r="L24" s="16"/>
      <c r="M24" s="16"/>
      <c r="N24" s="16"/>
      <c r="O24" s="16"/>
      <c r="P24" s="16"/>
      <c r="Q24" s="16"/>
      <c r="R24" s="16"/>
      <c r="S24" s="16"/>
      <c r="T24" s="16"/>
      <c r="U24" s="16"/>
      <c r="V24" s="16"/>
      <c r="W24" s="19" t="e" vm="1">
        <f ca="1">W$4-$D24</f>
        <v>#NAME?</v>
      </c>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81"/>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81"/>
      <c r="DO24" s="16"/>
      <c r="DP24" s="16"/>
      <c r="DQ24" s="16"/>
      <c r="DR24" s="16"/>
      <c r="DS24" s="16"/>
      <c r="DT24" s="16"/>
      <c r="DU24" s="16"/>
      <c r="DV24" s="16"/>
    </row>
    <row r="25" spans="3:126" x14ac:dyDescent="0.45">
      <c r="C25" t="s">
        <v>1101</v>
      </c>
      <c r="D25" s="16" t="e" vm="2">
        <f ca="1">_xlfn.XLOOKUP(C25,'Consol (TB)'!C:C,'Consol (TB)'!L:L,VALUE("0"),0,1)</f>
        <v>#NAME?</v>
      </c>
      <c r="E25" s="16"/>
      <c r="F25" s="16"/>
      <c r="G25" s="16"/>
      <c r="H25" s="16"/>
      <c r="I25" s="16"/>
      <c r="J25" s="16"/>
      <c r="K25" s="16"/>
      <c r="L25" s="16"/>
      <c r="M25" s="16"/>
      <c r="N25" s="16"/>
      <c r="O25" s="16"/>
      <c r="P25" s="16"/>
      <c r="Q25" s="16"/>
      <c r="R25" s="16"/>
      <c r="S25" s="16"/>
      <c r="T25" s="16"/>
      <c r="U25" s="16"/>
      <c r="V25" s="16"/>
      <c r="W25" s="16"/>
      <c r="X25" s="19" t="e" vm="1">
        <f ca="1">X$4-$D25</f>
        <v>#NAME?</v>
      </c>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81"/>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81"/>
      <c r="DO25" s="16"/>
      <c r="DP25" s="16"/>
      <c r="DQ25" s="16"/>
      <c r="DR25" s="16"/>
      <c r="DS25" s="16"/>
      <c r="DT25" s="16"/>
      <c r="DU25" s="16"/>
      <c r="DV25" s="16"/>
    </row>
    <row r="26" spans="3:126" x14ac:dyDescent="0.45">
      <c r="C26" t="s">
        <v>1102</v>
      </c>
      <c r="D26" s="16" t="e" vm="2">
        <f ca="1">_xlfn.XLOOKUP(C26,'Consol (TB)'!C:C,'Consol (TB)'!L:L,VALUE("0"),0,1)</f>
        <v>#NAME?</v>
      </c>
      <c r="E26" s="16"/>
      <c r="F26" s="16"/>
      <c r="G26" s="16"/>
      <c r="H26" s="16"/>
      <c r="I26" s="16"/>
      <c r="J26" s="16"/>
      <c r="K26" s="16"/>
      <c r="L26" s="16"/>
      <c r="M26" s="16"/>
      <c r="N26" s="16"/>
      <c r="O26" s="16"/>
      <c r="P26" s="16"/>
      <c r="Q26" s="16"/>
      <c r="R26" s="16"/>
      <c r="S26" s="16"/>
      <c r="T26" s="16"/>
      <c r="U26" s="16"/>
      <c r="V26" s="16"/>
      <c r="W26" s="16"/>
      <c r="X26" s="16"/>
      <c r="Y26" s="19" t="e" vm="1">
        <f ca="1">Y$4-$D26</f>
        <v>#NAME?</v>
      </c>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81"/>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81"/>
      <c r="DO26" s="16"/>
      <c r="DP26" s="16"/>
      <c r="DQ26" s="16"/>
      <c r="DR26" s="16"/>
      <c r="DS26" s="16"/>
      <c r="DT26" s="16"/>
      <c r="DU26" s="16"/>
      <c r="DV26" s="16"/>
    </row>
    <row r="27" spans="3:126" x14ac:dyDescent="0.45">
      <c r="C27" t="s">
        <v>1387</v>
      </c>
      <c r="D27" s="16" t="e" vm="2">
        <f ca="1">_xlfn.XLOOKUP(C27,'Consol (TB)'!C:C,'Consol (TB)'!L:L,VALUE("0"),0,1)</f>
        <v>#NAME?</v>
      </c>
      <c r="E27" s="16"/>
      <c r="F27" s="16"/>
      <c r="G27" s="16"/>
      <c r="H27" s="16"/>
      <c r="I27" s="16"/>
      <c r="J27" s="16"/>
      <c r="K27" s="16"/>
      <c r="L27" s="16"/>
      <c r="M27" s="16"/>
      <c r="N27" s="16"/>
      <c r="O27" s="16"/>
      <c r="P27" s="16"/>
      <c r="Q27" s="16"/>
      <c r="R27" s="16"/>
      <c r="S27" s="16"/>
      <c r="T27" s="16"/>
      <c r="U27" s="16"/>
      <c r="V27" s="16"/>
      <c r="W27" s="16"/>
      <c r="X27" s="16"/>
      <c r="Y27" s="16"/>
      <c r="Z27" s="19" t="e" vm="1">
        <f ca="1">Z$4-$D27</f>
        <v>#NAME?</v>
      </c>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81"/>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81"/>
      <c r="DO27" s="16"/>
      <c r="DP27" s="16"/>
      <c r="DQ27" s="16"/>
      <c r="DR27" s="16"/>
      <c r="DS27" s="16"/>
      <c r="DT27" s="16"/>
      <c r="DU27" s="16"/>
      <c r="DV27" s="16"/>
    </row>
    <row r="28" spans="3:126" x14ac:dyDescent="0.45">
      <c r="C28" t="s">
        <v>1103</v>
      </c>
      <c r="D28" s="16" t="e" vm="2">
        <f ca="1">_xlfn.XLOOKUP(C28,'Consol (TB)'!C:C,'Consol (TB)'!L:L,VALUE("0"),0,1)</f>
        <v>#NAME?</v>
      </c>
      <c r="E28" s="16"/>
      <c r="F28" s="16"/>
      <c r="G28" s="16"/>
      <c r="H28" s="16"/>
      <c r="I28" s="16"/>
      <c r="J28" s="16"/>
      <c r="K28" s="16"/>
      <c r="L28" s="16"/>
      <c r="M28" s="16"/>
      <c r="N28" s="16"/>
      <c r="O28" s="16"/>
      <c r="P28" s="16"/>
      <c r="Q28" s="16"/>
      <c r="R28" s="16"/>
      <c r="S28" s="16"/>
      <c r="T28" s="16"/>
      <c r="U28" s="16"/>
      <c r="V28" s="16"/>
      <c r="W28" s="16"/>
      <c r="X28" s="16"/>
      <c r="Y28" s="16"/>
      <c r="Z28" s="16"/>
      <c r="AA28" s="19" t="e" vm="1">
        <f ca="1">AA$4-$D28</f>
        <v>#NAME?</v>
      </c>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81"/>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81"/>
      <c r="DO28" s="16"/>
      <c r="DP28" s="16"/>
      <c r="DQ28" s="16"/>
      <c r="DR28" s="16"/>
      <c r="DS28" s="16"/>
      <c r="DT28" s="16"/>
      <c r="DU28" s="16"/>
      <c r="DV28" s="16"/>
    </row>
    <row r="29" spans="3:126" x14ac:dyDescent="0.45">
      <c r="C29" t="s">
        <v>1104</v>
      </c>
      <c r="D29" s="16" t="e" vm="2">
        <f ca="1">_xlfn.XLOOKUP(C29,'Consol (TB)'!C:C,'Consol (TB)'!L:L,VALUE("0"),0,1)</f>
        <v>#NAME?</v>
      </c>
      <c r="E29" s="16"/>
      <c r="F29" s="16"/>
      <c r="G29" s="16"/>
      <c r="H29" s="16"/>
      <c r="I29" s="16"/>
      <c r="J29" s="16"/>
      <c r="K29" s="16"/>
      <c r="L29" s="16"/>
      <c r="M29" s="16"/>
      <c r="N29" s="16"/>
      <c r="O29" s="16"/>
      <c r="P29" s="16"/>
      <c r="Q29" s="16"/>
      <c r="R29" s="16"/>
      <c r="S29" s="16"/>
      <c r="T29" s="16"/>
      <c r="U29" s="16"/>
      <c r="V29" s="16"/>
      <c r="W29" s="16"/>
      <c r="X29" s="16"/>
      <c r="Y29" s="16"/>
      <c r="Z29" s="16"/>
      <c r="AA29" s="16"/>
      <c r="AB29" s="19" t="e" vm="1">
        <f ca="1">AB$4-$D29</f>
        <v>#NAME?</v>
      </c>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81"/>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81"/>
      <c r="DO29" s="16"/>
      <c r="DP29" s="16"/>
      <c r="DQ29" s="16"/>
      <c r="DR29" s="16"/>
      <c r="DS29" s="16"/>
      <c r="DT29" s="16"/>
      <c r="DU29" s="16"/>
      <c r="DV29" s="16"/>
    </row>
    <row r="30" spans="3:126" x14ac:dyDescent="0.45">
      <c r="C30" t="s">
        <v>1105</v>
      </c>
      <c r="D30" s="16" t="e" vm="2">
        <f ca="1">_xlfn.XLOOKUP(C30,'Consol (TB)'!C:C,'Consol (TB)'!L:L,VALUE("0"),0,1)</f>
        <v>#NAME?</v>
      </c>
      <c r="E30" s="16"/>
      <c r="F30" s="16"/>
      <c r="G30" s="16"/>
      <c r="H30" s="16"/>
      <c r="I30" s="16"/>
      <c r="J30" s="16"/>
      <c r="K30" s="16"/>
      <c r="L30" s="16"/>
      <c r="M30" s="16"/>
      <c r="N30" s="16"/>
      <c r="O30" s="16"/>
      <c r="P30" s="16"/>
      <c r="Q30" s="16"/>
      <c r="R30" s="16"/>
      <c r="S30" s="16"/>
      <c r="T30" s="16"/>
      <c r="U30" s="16"/>
      <c r="V30" s="16"/>
      <c r="W30" s="16"/>
      <c r="X30" s="16"/>
      <c r="Y30" s="16"/>
      <c r="Z30" s="16"/>
      <c r="AA30" s="16"/>
      <c r="AB30" s="16"/>
      <c r="AC30" s="19" t="e" vm="1">
        <f ca="1">AC$4-$D30</f>
        <v>#NAME?</v>
      </c>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81"/>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81"/>
      <c r="DO30" s="16"/>
      <c r="DP30" s="16"/>
      <c r="DQ30" s="16"/>
      <c r="DR30" s="16"/>
      <c r="DS30" s="16"/>
      <c r="DT30" s="16"/>
      <c r="DU30" s="16"/>
      <c r="DV30" s="16"/>
    </row>
    <row r="31" spans="3:126" x14ac:dyDescent="0.45">
      <c r="C31" t="s">
        <v>1106</v>
      </c>
      <c r="D31" s="16" t="e" vm="2">
        <f ca="1">_xlfn.XLOOKUP(C31,'Consol (TB)'!C:C,'Consol (TB)'!L:L,VALUE("0"),0,1)</f>
        <v>#NAME?</v>
      </c>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9" t="e" vm="1">
        <f ca="1">AD$4-$D31</f>
        <v>#NAME?</v>
      </c>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81"/>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81"/>
      <c r="DO31" s="16"/>
      <c r="DP31" s="16"/>
      <c r="DQ31" s="16"/>
      <c r="DR31" s="16"/>
      <c r="DS31" s="16"/>
      <c r="DT31" s="16"/>
      <c r="DU31" s="16"/>
      <c r="DV31" s="16"/>
    </row>
    <row r="32" spans="3:126" x14ac:dyDescent="0.45">
      <c r="C32" t="s">
        <v>1107</v>
      </c>
      <c r="D32" s="16" t="e" vm="2">
        <f ca="1">_xlfn.XLOOKUP(C32,'Consol (TB)'!C:C,'Consol (TB)'!L:L,VALUE("0"),0,1)</f>
        <v>#NAME?</v>
      </c>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9" t="e" vm="1">
        <f ca="1">AE$4-$D32</f>
        <v>#NAME?</v>
      </c>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81"/>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81"/>
      <c r="DO32" s="16"/>
      <c r="DP32" s="16"/>
      <c r="DQ32" s="16"/>
      <c r="DR32" s="16"/>
      <c r="DS32" s="16"/>
      <c r="DT32" s="16"/>
      <c r="DU32" s="16"/>
      <c r="DV32" s="16"/>
    </row>
    <row r="33" spans="3:126" x14ac:dyDescent="0.45">
      <c r="C33" t="s">
        <v>1108</v>
      </c>
      <c r="D33" s="16" t="e" vm="2">
        <f ca="1">_xlfn.XLOOKUP(C33,'Consol (TB)'!C:C,'Consol (TB)'!L:L,VALUE("0"),0,1)</f>
        <v>#NAME?</v>
      </c>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9" t="e" vm="1">
        <f ca="1">AF$4-$D33</f>
        <v>#NAME?</v>
      </c>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81"/>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81"/>
      <c r="DO33" s="16"/>
      <c r="DP33" s="16"/>
      <c r="DQ33" s="16"/>
      <c r="DR33" s="16"/>
      <c r="DS33" s="16"/>
      <c r="DT33" s="16"/>
      <c r="DU33" s="16"/>
      <c r="DV33" s="16"/>
    </row>
    <row r="34" spans="3:126" x14ac:dyDescent="0.45">
      <c r="C34" t="s">
        <v>1109</v>
      </c>
      <c r="D34" s="16" t="e" vm="2">
        <f ca="1">_xlfn.XLOOKUP(C34,'Consol (TB)'!C:C,'Consol (TB)'!L:L,VALUE("0"),0,1)</f>
        <v>#NAME?</v>
      </c>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9" t="e" vm="1">
        <f ca="1">AG$4-$D34</f>
        <v>#NAME?</v>
      </c>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81"/>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81"/>
      <c r="DO34" s="16"/>
      <c r="DP34" s="16"/>
      <c r="DQ34" s="16"/>
      <c r="DR34" s="16"/>
      <c r="DS34" s="16"/>
      <c r="DT34" s="16"/>
      <c r="DU34" s="16"/>
      <c r="DV34" s="16"/>
    </row>
    <row r="35" spans="3:126" x14ac:dyDescent="0.45">
      <c r="C35" t="s">
        <v>1110</v>
      </c>
      <c r="D35" s="16" t="e" vm="2">
        <f ca="1">_xlfn.XLOOKUP(C35,'Consol (TB)'!C:C,'Consol (TB)'!L:L,VALUE("0"),0,1)</f>
        <v>#NAME?</v>
      </c>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9" t="e" vm="1">
        <f ca="1">AH$4-$D35</f>
        <v>#NAME?</v>
      </c>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81"/>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81"/>
      <c r="DO35" s="16"/>
      <c r="DP35" s="16"/>
      <c r="DQ35" s="16"/>
      <c r="DR35" s="16"/>
      <c r="DS35" s="16"/>
      <c r="DT35" s="16"/>
      <c r="DU35" s="16"/>
      <c r="DV35" s="16"/>
    </row>
    <row r="36" spans="3:126" x14ac:dyDescent="0.45">
      <c r="C36" t="s">
        <v>1111</v>
      </c>
      <c r="D36" s="16" t="e" vm="2">
        <f ca="1">_xlfn.XLOOKUP(C36,'Consol (TB)'!C:C,'Consol (TB)'!L:L,VALUE("0"),0,1)</f>
        <v>#NAME?</v>
      </c>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9" t="e" vm="1">
        <f ca="1">AI$4-$D36</f>
        <v>#NAME?</v>
      </c>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81"/>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81"/>
      <c r="DO36" s="16"/>
      <c r="DP36" s="16"/>
      <c r="DQ36" s="16"/>
      <c r="DR36" s="16"/>
      <c r="DS36" s="16"/>
      <c r="DT36" s="16"/>
      <c r="DU36" s="16"/>
      <c r="DV36" s="16"/>
    </row>
    <row r="37" spans="3:126" x14ac:dyDescent="0.45">
      <c r="C37" t="s">
        <v>1112</v>
      </c>
      <c r="D37" s="16" t="e" vm="2">
        <f ca="1">_xlfn.XLOOKUP(C37,'Consol (TB)'!C:C,'Consol (TB)'!L:L,VALUE("0"),0,1)</f>
        <v>#NAME?</v>
      </c>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9" t="e" vm="1">
        <f ca="1">AJ$4-$D37</f>
        <v>#NAME?</v>
      </c>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81"/>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81"/>
      <c r="DO37" s="16"/>
      <c r="DP37" s="16"/>
      <c r="DQ37" s="16"/>
      <c r="DR37" s="16"/>
      <c r="DS37" s="16"/>
      <c r="DT37" s="16"/>
      <c r="DU37" s="16"/>
      <c r="DV37" s="16"/>
    </row>
    <row r="38" spans="3:126" x14ac:dyDescent="0.45">
      <c r="C38" t="s">
        <v>1113</v>
      </c>
      <c r="D38" s="16" t="e" vm="2">
        <f ca="1">_xlfn.XLOOKUP(C38,'Consol (TB)'!C:C,'Consol (TB)'!L:L,VALUE("0"),0,1)</f>
        <v>#NAME?</v>
      </c>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9" t="e" vm="1">
        <f ca="1">AK$4-$D38</f>
        <v>#NAME?</v>
      </c>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81"/>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81"/>
      <c r="DO38" s="16"/>
      <c r="DP38" s="16"/>
      <c r="DQ38" s="16"/>
      <c r="DR38" s="16"/>
      <c r="DS38" s="16"/>
      <c r="DT38" s="16"/>
      <c r="DU38" s="16"/>
      <c r="DV38" s="16"/>
    </row>
    <row r="39" spans="3:126" x14ac:dyDescent="0.45">
      <c r="C39" t="s">
        <v>1114</v>
      </c>
      <c r="D39" s="16" t="e" vm="2">
        <f ca="1">_xlfn.XLOOKUP(C39,'Consol (TB)'!C:C,'Consol (TB)'!L:L,VALUE("0"),0,1)</f>
        <v>#NAME?</v>
      </c>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9" t="e" vm="1">
        <f ca="1">AL$4-$D39</f>
        <v>#NAME?</v>
      </c>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81"/>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81"/>
      <c r="DO39" s="16"/>
      <c r="DP39" s="16"/>
      <c r="DQ39" s="16"/>
      <c r="DR39" s="16"/>
      <c r="DS39" s="16"/>
      <c r="DT39" s="16"/>
      <c r="DU39" s="16"/>
      <c r="DV39" s="16"/>
    </row>
    <row r="40" spans="3:126" x14ac:dyDescent="0.45">
      <c r="C40" t="s">
        <v>1115</v>
      </c>
      <c r="D40" s="16" t="e" vm="2">
        <f ca="1">_xlfn.XLOOKUP(C40,'Consol (TB)'!C:C,'Consol (TB)'!L:L,VALUE("0"),0,1)</f>
        <v>#NAME?</v>
      </c>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9" t="e" vm="1">
        <f ca="1">AM$4-$D40</f>
        <v>#NAME?</v>
      </c>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81"/>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81"/>
      <c r="DO40" s="16"/>
      <c r="DP40" s="16"/>
      <c r="DQ40" s="16"/>
      <c r="DR40" s="16"/>
      <c r="DS40" s="16"/>
      <c r="DT40" s="16"/>
      <c r="DU40" s="16"/>
      <c r="DV40" s="16"/>
    </row>
    <row r="41" spans="3:126" x14ac:dyDescent="0.45">
      <c r="C41" t="s">
        <v>1116</v>
      </c>
      <c r="D41" s="16" t="e" vm="2">
        <f ca="1">_xlfn.XLOOKUP(C41,'Consol (TB)'!C:C,'Consol (TB)'!L:L,VALUE("0"),0,1)</f>
        <v>#NAME?</v>
      </c>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9" t="e" vm="1">
        <f ca="1">AN$4-$D41</f>
        <v>#NAME?</v>
      </c>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81"/>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81"/>
      <c r="DO41" s="16"/>
      <c r="DP41" s="16"/>
      <c r="DQ41" s="16"/>
      <c r="DR41" s="16"/>
      <c r="DS41" s="16"/>
      <c r="DT41" s="16"/>
      <c r="DU41" s="16"/>
      <c r="DV41" s="16"/>
    </row>
    <row r="42" spans="3:126" x14ac:dyDescent="0.45">
      <c r="C42" t="s">
        <v>1392</v>
      </c>
      <c r="D42" s="16" t="e" vm="2">
        <f ca="1">_xlfn.XLOOKUP(C42,'Consol (TB)'!C:C,'Consol (TB)'!L:L,VALUE("0"),0,1)</f>
        <v>#NAME?</v>
      </c>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9" t="e" vm="1">
        <f ca="1">AO$4-$D42</f>
        <v>#NAME?</v>
      </c>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81"/>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81"/>
      <c r="DO42" s="16"/>
      <c r="DP42" s="16"/>
      <c r="DQ42" s="16"/>
      <c r="DR42" s="16"/>
      <c r="DS42" s="16"/>
      <c r="DT42" s="16"/>
      <c r="DU42" s="16"/>
      <c r="DV42" s="16"/>
    </row>
    <row r="43" spans="3:126" x14ac:dyDescent="0.45">
      <c r="C43" t="s">
        <v>1117</v>
      </c>
      <c r="D43" s="16" t="e" vm="2">
        <f ca="1">_xlfn.XLOOKUP(C43,'Consol (TB)'!C:C,'Consol (TB)'!L:L,VALUE("0"),0,1)</f>
        <v>#NAME?</v>
      </c>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9" t="e" vm="1">
        <f ca="1">AP$4-$D43</f>
        <v>#NAME?</v>
      </c>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81"/>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81"/>
      <c r="DO43" s="16"/>
      <c r="DP43" s="16"/>
      <c r="DQ43" s="16"/>
      <c r="DR43" s="16"/>
      <c r="DS43" s="16"/>
      <c r="DT43" s="16"/>
      <c r="DU43" s="16"/>
      <c r="DV43" s="16"/>
    </row>
    <row r="44" spans="3:126" x14ac:dyDescent="0.45">
      <c r="C44" t="s">
        <v>1422</v>
      </c>
      <c r="D44" s="16" t="e" vm="2">
        <f ca="1">_xlfn.XLOOKUP(C44,'Consol (TB)'!C:C,'Consol (TB)'!L:L,VALUE("0"),0,1)</f>
        <v>#NAME?</v>
      </c>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9" t="e" vm="1">
        <f ca="1">AQ$4-$D44</f>
        <v>#NAME?</v>
      </c>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81"/>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81"/>
      <c r="DO44" s="16"/>
      <c r="DP44" s="16"/>
      <c r="DQ44" s="16"/>
      <c r="DR44" s="16"/>
      <c r="DS44" s="16"/>
      <c r="DT44" s="16"/>
      <c r="DU44" s="16"/>
      <c r="DV44" s="16"/>
    </row>
    <row r="45" spans="3:126" x14ac:dyDescent="0.45">
      <c r="C45" t="s">
        <v>1556</v>
      </c>
      <c r="D45" s="16" t="e" vm="2">
        <f ca="1">_xlfn.XLOOKUP(C45,'Consol (TB)'!C:C,'Consol (TB)'!L:L,VALUE("0"),0,1)</f>
        <v>#NAME?</v>
      </c>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9" t="e" vm="1">
        <f ca="1">AR$4-$D45</f>
        <v>#NAME?</v>
      </c>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81"/>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81"/>
      <c r="DO45" s="16"/>
      <c r="DP45" s="16"/>
      <c r="DQ45" s="16"/>
      <c r="DR45" s="16"/>
      <c r="DS45" s="16"/>
      <c r="DT45" s="16"/>
      <c r="DU45" s="16"/>
      <c r="DV45" s="16"/>
    </row>
    <row r="46" spans="3:126" x14ac:dyDescent="0.45">
      <c r="C46" t="s">
        <v>1118</v>
      </c>
      <c r="D46" s="16" t="e" vm="2">
        <f ca="1">_xlfn.XLOOKUP(C46,'Consol (TB)'!C:C,'Consol (TB)'!L:L,VALUE("0"),0,1)</f>
        <v>#NAME?</v>
      </c>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9" t="e" vm="1">
        <f ca="1">AS$4-$D46</f>
        <v>#NAME?</v>
      </c>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81"/>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6"/>
      <c r="DN46" s="81"/>
      <c r="DO46" s="16"/>
      <c r="DP46" s="16"/>
      <c r="DQ46" s="16"/>
      <c r="DR46" s="16"/>
      <c r="DS46" s="16"/>
      <c r="DT46" s="16"/>
      <c r="DU46" s="16"/>
      <c r="DV46" s="16"/>
    </row>
    <row r="47" spans="3:126" x14ac:dyDescent="0.45">
      <c r="C47" t="s">
        <v>1391</v>
      </c>
      <c r="D47" s="16" t="e" vm="2">
        <f ca="1">_xlfn.XLOOKUP(C47,'Consol (TB)'!C:C,'Consol (TB)'!L:L,VALUE("0"),0,1)</f>
        <v>#NAME?</v>
      </c>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9" t="e" vm="1">
        <f ca="1">AT$4-$D47</f>
        <v>#NAME?</v>
      </c>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81"/>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81"/>
      <c r="DO47" s="16"/>
      <c r="DP47" s="16"/>
      <c r="DQ47" s="16"/>
      <c r="DR47" s="16"/>
      <c r="DS47" s="16"/>
      <c r="DT47" s="16"/>
      <c r="DU47" s="16"/>
      <c r="DV47" s="16"/>
    </row>
    <row r="48" spans="3:126" x14ac:dyDescent="0.45">
      <c r="C48" t="s">
        <v>1119</v>
      </c>
      <c r="D48" s="16" t="e" vm="2">
        <f ca="1">_xlfn.XLOOKUP(C48,'Consol (TB)'!C:C,'Consol (TB)'!L:L,VALUE("0"),0,1)</f>
        <v>#NAME?</v>
      </c>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9" t="e" vm="1">
        <f ca="1">AU$4-$D48</f>
        <v>#NAME?</v>
      </c>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81"/>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81"/>
      <c r="DO48" s="16"/>
      <c r="DP48" s="16"/>
      <c r="DQ48" s="16"/>
      <c r="DR48" s="16"/>
      <c r="DS48" s="16"/>
      <c r="DT48" s="16"/>
      <c r="DU48" s="16"/>
      <c r="DV48" s="16"/>
    </row>
    <row r="49" spans="3:126" x14ac:dyDescent="0.45">
      <c r="C49" t="s">
        <v>1120</v>
      </c>
      <c r="D49" s="16" t="e" vm="2">
        <f ca="1">_xlfn.XLOOKUP(C49,'Consol (TB)'!C:C,'Consol (TB)'!L:L,VALUE("0"),0,1)</f>
        <v>#NAME?</v>
      </c>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9" t="e" vm="1">
        <f ca="1">AV$4-$D49</f>
        <v>#NAME?</v>
      </c>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81"/>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81"/>
      <c r="DO49" s="16"/>
      <c r="DP49" s="16"/>
      <c r="DQ49" s="16"/>
      <c r="DR49" s="16"/>
      <c r="DS49" s="16"/>
      <c r="DT49" s="16"/>
      <c r="DU49" s="16"/>
      <c r="DV49" s="16"/>
    </row>
    <row r="50" spans="3:126" x14ac:dyDescent="0.45">
      <c r="C50" t="s">
        <v>1121</v>
      </c>
      <c r="D50" s="16" t="e" vm="2">
        <f ca="1">_xlfn.XLOOKUP(C50,'Consol (TB)'!C:C,'Consol (TB)'!L:L,VALUE("0"),0,1)</f>
        <v>#NAME?</v>
      </c>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9" t="e" vm="1">
        <f ca="1">AW$4-$D50</f>
        <v>#NAME?</v>
      </c>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81"/>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81"/>
      <c r="DO50" s="16"/>
      <c r="DP50" s="16"/>
      <c r="DQ50" s="16"/>
      <c r="DR50" s="16"/>
      <c r="DS50" s="16"/>
      <c r="DT50" s="16"/>
      <c r="DU50" s="16"/>
      <c r="DV50" s="16"/>
    </row>
    <row r="51" spans="3:126" x14ac:dyDescent="0.45">
      <c r="C51" t="s">
        <v>1122</v>
      </c>
      <c r="D51" s="16" t="e" vm="2">
        <f ca="1">_xlfn.XLOOKUP(C51,'Consol (TB)'!C:C,'Consol (TB)'!L:L,VALUE("0"),0,1)</f>
        <v>#NAME?</v>
      </c>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9" t="e" vm="1">
        <f ca="1">AX$4-$D51</f>
        <v>#NAME?</v>
      </c>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81"/>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81"/>
      <c r="DO51" s="16"/>
      <c r="DP51" s="16"/>
      <c r="DQ51" s="16"/>
      <c r="DR51" s="16"/>
      <c r="DS51" s="16"/>
      <c r="DT51" s="16"/>
      <c r="DU51" s="16"/>
      <c r="DV51" s="16"/>
    </row>
    <row r="52" spans="3:126" x14ac:dyDescent="0.45">
      <c r="C52" t="s">
        <v>1390</v>
      </c>
      <c r="D52" s="16" t="e" vm="2">
        <f ca="1">_xlfn.XLOOKUP(C52,'Consol (TB)'!C:C,'Consol (TB)'!L:L,VALUE("0"),0,1)</f>
        <v>#NAME?</v>
      </c>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9" t="e" vm="1">
        <f ca="1">AY$4-$D52</f>
        <v>#NAME?</v>
      </c>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81"/>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81"/>
      <c r="DO52" s="16"/>
      <c r="DP52" s="16"/>
      <c r="DQ52" s="16"/>
      <c r="DR52" s="16"/>
      <c r="DS52" s="16"/>
      <c r="DT52" s="16"/>
      <c r="DU52" s="16"/>
      <c r="DV52" s="16"/>
    </row>
    <row r="53" spans="3:126" x14ac:dyDescent="0.45">
      <c r="C53" t="s">
        <v>1123</v>
      </c>
      <c r="D53" s="16" t="e" vm="2">
        <f ca="1">_xlfn.XLOOKUP(C53,'Consol (TB)'!C:C,'Consol (TB)'!L:L,VALUE("0"),0,1)</f>
        <v>#NAME?</v>
      </c>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9" t="e" vm="1">
        <f ca="1">AZ$4-$D53</f>
        <v>#NAME?</v>
      </c>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81"/>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81"/>
      <c r="DO53" s="16"/>
      <c r="DP53" s="16"/>
      <c r="DQ53" s="16"/>
      <c r="DR53" s="16"/>
      <c r="DS53" s="16"/>
      <c r="DT53" s="16"/>
      <c r="DU53" s="16"/>
      <c r="DV53" s="16"/>
    </row>
    <row r="54" spans="3:126" x14ac:dyDescent="0.45">
      <c r="C54" t="s">
        <v>1124</v>
      </c>
      <c r="D54" s="16" t="e" vm="2">
        <f ca="1">_xlfn.XLOOKUP(C54,'Consol (TB)'!C:C,'Consol (TB)'!L:L,VALUE("0"),0,1)</f>
        <v>#NAME?</v>
      </c>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9" t="e" vm="1">
        <f ca="1">BA$4-$D54</f>
        <v>#NAME?</v>
      </c>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81"/>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c r="DJ54" s="16"/>
      <c r="DK54" s="16"/>
      <c r="DL54" s="16"/>
      <c r="DM54" s="16"/>
      <c r="DN54" s="81"/>
      <c r="DO54" s="16"/>
      <c r="DP54" s="16"/>
      <c r="DQ54" s="16"/>
      <c r="DR54" s="16"/>
      <c r="DS54" s="16"/>
      <c r="DT54" s="16"/>
      <c r="DU54" s="16"/>
      <c r="DV54" s="16"/>
    </row>
    <row r="55" spans="3:126" x14ac:dyDescent="0.45">
      <c r="C55" t="s">
        <v>1420</v>
      </c>
      <c r="D55" s="16" t="e" vm="2">
        <f ca="1">_xlfn.XLOOKUP(C55,'Consol (TB)'!C:C,'Consol (TB)'!L:L,VALUE("0"),0,1)</f>
        <v>#NAME?</v>
      </c>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9" t="e" vm="1">
        <f ca="1">BB$4-$D55</f>
        <v>#NAME?</v>
      </c>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81"/>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c r="DF55" s="16"/>
      <c r="DG55" s="16"/>
      <c r="DH55" s="16"/>
      <c r="DI55" s="16"/>
      <c r="DJ55" s="16"/>
      <c r="DK55" s="16"/>
      <c r="DL55" s="16"/>
      <c r="DM55" s="16"/>
      <c r="DN55" s="81"/>
      <c r="DO55" s="16"/>
      <c r="DP55" s="16"/>
      <c r="DQ55" s="16"/>
      <c r="DR55" s="16"/>
      <c r="DS55" s="16"/>
      <c r="DT55" s="16"/>
      <c r="DU55" s="16"/>
      <c r="DV55" s="16"/>
    </row>
    <row r="56" spans="3:126" x14ac:dyDescent="0.45">
      <c r="C56" t="s">
        <v>1125</v>
      </c>
      <c r="D56" s="16" t="e" vm="2">
        <f ca="1">_xlfn.XLOOKUP(C56,'Consol (TB)'!C:C,'Consol (TB)'!L:L,VALUE("0"),0,1)</f>
        <v>#NAME?</v>
      </c>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9" t="e" vm="1">
        <f ca="1">BC$4-$D56</f>
        <v>#NAME?</v>
      </c>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81"/>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81"/>
      <c r="DO56" s="16"/>
      <c r="DP56" s="16"/>
      <c r="DQ56" s="16"/>
      <c r="DR56" s="16"/>
      <c r="DS56" s="16"/>
      <c r="DT56" s="16"/>
      <c r="DU56" s="16"/>
      <c r="DV56" s="16"/>
    </row>
    <row r="57" spans="3:126" x14ac:dyDescent="0.45">
      <c r="C57" t="s">
        <v>1126</v>
      </c>
      <c r="D57" s="16" t="e" vm="2">
        <f ca="1">_xlfn.XLOOKUP(C57,'Consol (TB)'!C:C,'Consol (TB)'!L:L,VALUE("0"),0,1)</f>
        <v>#NAME?</v>
      </c>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9" t="e" vm="1">
        <f ca="1">BD$4-$D57</f>
        <v>#NAME?</v>
      </c>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81"/>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81"/>
      <c r="DO57" s="16"/>
      <c r="DP57" s="16"/>
      <c r="DQ57" s="16"/>
      <c r="DR57" s="16"/>
      <c r="DS57" s="16"/>
      <c r="DT57" s="16"/>
      <c r="DU57" s="16"/>
      <c r="DV57" s="16"/>
    </row>
    <row r="58" spans="3:126" x14ac:dyDescent="0.45">
      <c r="C58" t="s">
        <v>1127</v>
      </c>
      <c r="D58" s="16" t="e" vm="2">
        <f ca="1">_xlfn.XLOOKUP(C58,'Consol (TB)'!C:C,'Consol (TB)'!L:L,VALUE("0"),0,1)</f>
        <v>#NAME?</v>
      </c>
      <c r="E58" s="16"/>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9" t="e" vm="1">
        <f ca="1">BE$4-$D58</f>
        <v>#NAME?</v>
      </c>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81"/>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81"/>
      <c r="DO58" s="16"/>
      <c r="DP58" s="16"/>
      <c r="DQ58" s="16"/>
      <c r="DR58" s="16"/>
      <c r="DS58" s="16"/>
      <c r="DT58" s="16"/>
      <c r="DU58" s="16"/>
      <c r="DV58" s="16"/>
    </row>
    <row r="59" spans="3:126" x14ac:dyDescent="0.45">
      <c r="C59" t="s">
        <v>1128</v>
      </c>
      <c r="D59" s="16" t="e" vm="2">
        <f ca="1">_xlfn.XLOOKUP(C59,'Consol (TB)'!C:C,'Consol (TB)'!L:L,VALUE("0"),0,1)</f>
        <v>#NAME?</v>
      </c>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9" t="e" vm="1">
        <f ca="1">BF$4-$D59</f>
        <v>#NAME?</v>
      </c>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81"/>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81"/>
      <c r="DO59" s="16"/>
      <c r="DP59" s="16"/>
      <c r="DQ59" s="16"/>
      <c r="DR59" s="16"/>
      <c r="DS59" s="16"/>
      <c r="DT59" s="16"/>
      <c r="DU59" s="16"/>
      <c r="DV59" s="16"/>
    </row>
    <row r="60" spans="3:126" x14ac:dyDescent="0.45">
      <c r="C60" t="s">
        <v>1129</v>
      </c>
      <c r="D60" s="16" t="e" vm="2">
        <f ca="1">_xlfn.XLOOKUP(C60,'Consol (TB)'!C:C,'Consol (TB)'!L:L,VALUE("0"),0,1)</f>
        <v>#NAME?</v>
      </c>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9" t="e" vm="1">
        <f ca="1">BG$4-$D60</f>
        <v>#NAME?</v>
      </c>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81"/>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c r="DF60" s="16"/>
      <c r="DG60" s="16"/>
      <c r="DH60" s="16"/>
      <c r="DI60" s="16"/>
      <c r="DJ60" s="16"/>
      <c r="DK60" s="16"/>
      <c r="DL60" s="16"/>
      <c r="DM60" s="16"/>
      <c r="DN60" s="81"/>
      <c r="DO60" s="16"/>
      <c r="DP60" s="16"/>
      <c r="DQ60" s="16"/>
      <c r="DR60" s="16"/>
      <c r="DS60" s="16"/>
      <c r="DT60" s="16"/>
      <c r="DU60" s="16"/>
      <c r="DV60" s="16"/>
    </row>
    <row r="61" spans="3:126" x14ac:dyDescent="0.45">
      <c r="C61" t="s">
        <v>1130</v>
      </c>
      <c r="D61" s="16" t="e" vm="2">
        <f ca="1">_xlfn.XLOOKUP(C61,'Consol (TB)'!C:C,'Consol (TB)'!L:L,VALUE("0"),0,1)</f>
        <v>#NAME?</v>
      </c>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9" t="e" vm="1">
        <f ca="1">BH$4-$D61</f>
        <v>#NAME?</v>
      </c>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81"/>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c r="DM61" s="16"/>
      <c r="DN61" s="81"/>
      <c r="DO61" s="16"/>
      <c r="DP61" s="16"/>
      <c r="DQ61" s="16"/>
      <c r="DR61" s="16"/>
      <c r="DS61" s="16"/>
      <c r="DT61" s="16"/>
      <c r="DU61" s="16"/>
      <c r="DV61" s="16"/>
    </row>
    <row r="62" spans="3:126" x14ac:dyDescent="0.45">
      <c r="C62" t="s">
        <v>1131</v>
      </c>
      <c r="D62" s="16" t="e" vm="2">
        <f ca="1">_xlfn.XLOOKUP(C62,'Consol (TB)'!C:C,'Consol (TB)'!L:L,VALUE("0"),0,1)</f>
        <v>#NAME?</v>
      </c>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9" t="e" vm="1">
        <f ca="1">BI$4-$D62</f>
        <v>#NAME?</v>
      </c>
      <c r="BJ62" s="16"/>
      <c r="BK62" s="16"/>
      <c r="BL62" s="16"/>
      <c r="BM62" s="16"/>
      <c r="BN62" s="16"/>
      <c r="BO62" s="16"/>
      <c r="BP62" s="16"/>
      <c r="BQ62" s="16"/>
      <c r="BR62" s="16"/>
      <c r="BS62" s="16"/>
      <c r="BT62" s="16"/>
      <c r="BU62" s="16"/>
      <c r="BV62" s="16"/>
      <c r="BW62" s="16"/>
      <c r="BX62" s="16"/>
      <c r="BY62" s="16"/>
      <c r="BZ62" s="16"/>
      <c r="CA62" s="16"/>
      <c r="CB62" s="16"/>
      <c r="CC62" s="16"/>
      <c r="CD62" s="16"/>
      <c r="CE62" s="16"/>
      <c r="CF62" s="81"/>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c r="DF62" s="16"/>
      <c r="DG62" s="16"/>
      <c r="DH62" s="16"/>
      <c r="DI62" s="16"/>
      <c r="DJ62" s="16"/>
      <c r="DK62" s="16"/>
      <c r="DL62" s="16"/>
      <c r="DM62" s="16"/>
      <c r="DN62" s="81"/>
      <c r="DO62" s="16"/>
      <c r="DP62" s="16"/>
      <c r="DQ62" s="16"/>
      <c r="DR62" s="16"/>
      <c r="DS62" s="16"/>
      <c r="DT62" s="16"/>
      <c r="DU62" s="16"/>
      <c r="DV62" s="16"/>
    </row>
    <row r="63" spans="3:126" x14ac:dyDescent="0.45">
      <c r="C63" t="s">
        <v>1132</v>
      </c>
      <c r="D63" s="16" t="e" vm="2">
        <f ca="1">_xlfn.XLOOKUP(C63,'Consol (TB)'!C:C,'Consol (TB)'!L:L,VALUE("0"),0,1)</f>
        <v>#NAME?</v>
      </c>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9" t="e" vm="1">
        <f ca="1">BJ$4-$D63</f>
        <v>#NAME?</v>
      </c>
      <c r="BK63" s="16"/>
      <c r="BL63" s="16"/>
      <c r="BM63" s="16"/>
      <c r="BN63" s="16"/>
      <c r="BO63" s="16"/>
      <c r="BP63" s="16"/>
      <c r="BQ63" s="16"/>
      <c r="BR63" s="16"/>
      <c r="BS63" s="16"/>
      <c r="BT63" s="16"/>
      <c r="BU63" s="16"/>
      <c r="BV63" s="16"/>
      <c r="BW63" s="16"/>
      <c r="BX63" s="16"/>
      <c r="BY63" s="16"/>
      <c r="BZ63" s="16"/>
      <c r="CA63" s="16"/>
      <c r="CB63" s="16"/>
      <c r="CC63" s="16"/>
      <c r="CD63" s="16"/>
      <c r="CE63" s="16"/>
      <c r="CF63" s="81"/>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c r="DF63" s="16"/>
      <c r="DG63" s="16"/>
      <c r="DH63" s="16"/>
      <c r="DI63" s="16"/>
      <c r="DJ63" s="16"/>
      <c r="DK63" s="16"/>
      <c r="DL63" s="16"/>
      <c r="DM63" s="16"/>
      <c r="DN63" s="81"/>
      <c r="DO63" s="16"/>
      <c r="DP63" s="16"/>
      <c r="DQ63" s="16"/>
      <c r="DR63" s="16"/>
      <c r="DS63" s="16"/>
      <c r="DT63" s="16"/>
      <c r="DU63" s="16"/>
      <c r="DV63" s="16"/>
    </row>
    <row r="64" spans="3:126" x14ac:dyDescent="0.45">
      <c r="C64" t="s">
        <v>1133</v>
      </c>
      <c r="D64" s="16" t="e" vm="2">
        <f ca="1">_xlfn.XLOOKUP(C64,'Consol (TB)'!C:C,'Consol (TB)'!L:L,VALUE("0"),0,1)</f>
        <v>#NAME?</v>
      </c>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9" t="e" vm="1">
        <f ca="1">BK$4-$D64</f>
        <v>#NAME?</v>
      </c>
      <c r="BL64" s="16"/>
      <c r="BM64" s="16"/>
      <c r="BN64" s="16"/>
      <c r="BO64" s="16"/>
      <c r="BP64" s="16"/>
      <c r="BQ64" s="16"/>
      <c r="BR64" s="16"/>
      <c r="BS64" s="16"/>
      <c r="BT64" s="16"/>
      <c r="BU64" s="16"/>
      <c r="BV64" s="16"/>
      <c r="BW64" s="16"/>
      <c r="BX64" s="16"/>
      <c r="BY64" s="16"/>
      <c r="BZ64" s="16"/>
      <c r="CA64" s="16"/>
      <c r="CB64" s="16"/>
      <c r="CC64" s="16"/>
      <c r="CD64" s="16"/>
      <c r="CE64" s="16"/>
      <c r="CF64" s="81"/>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c r="DF64" s="16"/>
      <c r="DG64" s="16"/>
      <c r="DH64" s="16"/>
      <c r="DI64" s="16"/>
      <c r="DJ64" s="16"/>
      <c r="DK64" s="16"/>
      <c r="DL64" s="16"/>
      <c r="DM64" s="16"/>
      <c r="DN64" s="81"/>
      <c r="DO64" s="16"/>
      <c r="DP64" s="16"/>
      <c r="DQ64" s="16"/>
      <c r="DR64" s="16"/>
      <c r="DS64" s="16"/>
      <c r="DT64" s="16"/>
      <c r="DU64" s="16"/>
      <c r="DV64" s="16"/>
    </row>
    <row r="65" spans="3:126" x14ac:dyDescent="0.45">
      <c r="C65" t="s">
        <v>1134</v>
      </c>
      <c r="D65" s="16" t="e" vm="2">
        <f ca="1">_xlfn.XLOOKUP(C65,'Consol (TB)'!C:C,'Consol (TB)'!L:L,VALUE("0"),0,1)</f>
        <v>#NAME?</v>
      </c>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9" t="e" vm="1">
        <f ca="1">BL$4-$D65</f>
        <v>#NAME?</v>
      </c>
      <c r="BM65" s="16"/>
      <c r="BN65" s="16"/>
      <c r="BO65" s="16"/>
      <c r="BP65" s="16"/>
      <c r="BQ65" s="16"/>
      <c r="BR65" s="16"/>
      <c r="BS65" s="16"/>
      <c r="BT65" s="16"/>
      <c r="BU65" s="16"/>
      <c r="BV65" s="16"/>
      <c r="BW65" s="16"/>
      <c r="BX65" s="16"/>
      <c r="BY65" s="16"/>
      <c r="BZ65" s="16"/>
      <c r="CA65" s="16"/>
      <c r="CB65" s="16"/>
      <c r="CC65" s="16"/>
      <c r="CD65" s="16"/>
      <c r="CE65" s="16"/>
      <c r="CF65" s="81"/>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81"/>
      <c r="DO65" s="16"/>
      <c r="DP65" s="16"/>
      <c r="DQ65" s="16"/>
      <c r="DR65" s="16"/>
      <c r="DS65" s="16"/>
      <c r="DT65" s="16"/>
      <c r="DU65" s="16"/>
      <c r="DV65" s="16"/>
    </row>
    <row r="66" spans="3:126" x14ac:dyDescent="0.45">
      <c r="C66" t="s">
        <v>1135</v>
      </c>
      <c r="D66" s="16" t="e" vm="2">
        <f ca="1">_xlfn.XLOOKUP(C66,'Consol (TB)'!C:C,'Consol (TB)'!L:L,VALUE("0"),0,1)</f>
        <v>#NAME?</v>
      </c>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9" t="e" vm="1">
        <f ca="1">BM$4-$D66</f>
        <v>#NAME?</v>
      </c>
      <c r="BN66" s="16"/>
      <c r="BO66" s="16"/>
      <c r="BP66" s="16"/>
      <c r="BQ66" s="16"/>
      <c r="BR66" s="16"/>
      <c r="BS66" s="16"/>
      <c r="BT66" s="16"/>
      <c r="BU66" s="16"/>
      <c r="BV66" s="16"/>
      <c r="BW66" s="16"/>
      <c r="BX66" s="16"/>
      <c r="BY66" s="16"/>
      <c r="BZ66" s="16"/>
      <c r="CA66" s="16"/>
      <c r="CB66" s="16"/>
      <c r="CC66" s="16"/>
      <c r="CD66" s="16"/>
      <c r="CE66" s="16"/>
      <c r="CF66" s="81"/>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81"/>
      <c r="DO66" s="16"/>
      <c r="DP66" s="16"/>
      <c r="DQ66" s="16"/>
      <c r="DR66" s="16"/>
      <c r="DS66" s="16"/>
      <c r="DT66" s="16"/>
      <c r="DU66" s="16"/>
      <c r="DV66" s="16"/>
    </row>
    <row r="67" spans="3:126" x14ac:dyDescent="0.45">
      <c r="C67" t="s">
        <v>1136</v>
      </c>
      <c r="D67" s="16" t="e" vm="2">
        <f ca="1">_xlfn.XLOOKUP(C67,'Consol (TB)'!C:C,'Consol (TB)'!L:L,VALUE("0"),0,1)</f>
        <v>#NAME?</v>
      </c>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9" t="e" vm="1">
        <f ca="1">BN$4-$D67</f>
        <v>#NAME?</v>
      </c>
      <c r="BO67" s="16"/>
      <c r="BP67" s="16"/>
      <c r="BQ67" s="16"/>
      <c r="BR67" s="16"/>
      <c r="BS67" s="16"/>
      <c r="BT67" s="16"/>
      <c r="BU67" s="16"/>
      <c r="BV67" s="16"/>
      <c r="BW67" s="16"/>
      <c r="BX67" s="16"/>
      <c r="BY67" s="16"/>
      <c r="BZ67" s="16"/>
      <c r="CA67" s="16"/>
      <c r="CB67" s="16"/>
      <c r="CC67" s="16"/>
      <c r="CD67" s="16"/>
      <c r="CE67" s="16"/>
      <c r="CF67" s="81"/>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c r="DF67" s="16"/>
      <c r="DG67" s="16"/>
      <c r="DH67" s="16"/>
      <c r="DI67" s="16"/>
      <c r="DJ67" s="16"/>
      <c r="DK67" s="16"/>
      <c r="DL67" s="16"/>
      <c r="DM67" s="16"/>
      <c r="DN67" s="81"/>
      <c r="DO67" s="16"/>
      <c r="DP67" s="16"/>
      <c r="DQ67" s="16"/>
      <c r="DR67" s="16"/>
      <c r="DS67" s="16"/>
      <c r="DT67" s="16"/>
      <c r="DU67" s="16"/>
      <c r="DV67" s="16"/>
    </row>
    <row r="68" spans="3:126" x14ac:dyDescent="0.45">
      <c r="C68" t="s">
        <v>1398</v>
      </c>
      <c r="D68" s="16" t="e" vm="2">
        <f ca="1">_xlfn.XLOOKUP(C68,'Consol (TB)'!C:C,'Consol (TB)'!L:L,VALUE("0"),0,1)</f>
        <v>#NAME?</v>
      </c>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9" t="e" vm="1">
        <f ca="1">BO$4-$D68</f>
        <v>#NAME?</v>
      </c>
      <c r="BP68" s="16"/>
      <c r="BQ68" s="16"/>
      <c r="BR68" s="16"/>
      <c r="BS68" s="16"/>
      <c r="BT68" s="16"/>
      <c r="BU68" s="16"/>
      <c r="BV68" s="16"/>
      <c r="BW68" s="16"/>
      <c r="BX68" s="16"/>
      <c r="BY68" s="16"/>
      <c r="BZ68" s="16"/>
      <c r="CA68" s="16"/>
      <c r="CB68" s="16"/>
      <c r="CC68" s="16"/>
      <c r="CD68" s="16"/>
      <c r="CE68" s="16"/>
      <c r="CF68" s="81"/>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c r="DF68" s="16"/>
      <c r="DG68" s="16"/>
      <c r="DH68" s="16"/>
      <c r="DI68" s="16"/>
      <c r="DJ68" s="16"/>
      <c r="DK68" s="16"/>
      <c r="DL68" s="16"/>
      <c r="DM68" s="16"/>
      <c r="DN68" s="81"/>
      <c r="DO68" s="16"/>
      <c r="DP68" s="16"/>
      <c r="DQ68" s="16"/>
      <c r="DR68" s="16"/>
      <c r="DS68" s="16"/>
      <c r="DT68" s="16"/>
      <c r="DU68" s="16"/>
      <c r="DV68" s="16"/>
    </row>
    <row r="69" spans="3:126" x14ac:dyDescent="0.45">
      <c r="C69" t="s">
        <v>1399</v>
      </c>
      <c r="D69" s="16" t="e" vm="2">
        <f ca="1">_xlfn.XLOOKUP(C69,'Consol (TB)'!C:C,'Consol (TB)'!L:L,VALUE("0"),0,1)</f>
        <v>#NAME?</v>
      </c>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9" t="e" vm="1">
        <f ca="1">BP$4-$D69</f>
        <v>#NAME?</v>
      </c>
      <c r="BQ69" s="16"/>
      <c r="BR69" s="16"/>
      <c r="BS69" s="16"/>
      <c r="BT69" s="16"/>
      <c r="BU69" s="16"/>
      <c r="BV69" s="16"/>
      <c r="BW69" s="16"/>
      <c r="BX69" s="16"/>
      <c r="BY69" s="16"/>
      <c r="BZ69" s="16"/>
      <c r="CA69" s="16"/>
      <c r="CB69" s="16"/>
      <c r="CC69" s="16"/>
      <c r="CD69" s="16"/>
      <c r="CE69" s="16"/>
      <c r="CF69" s="81"/>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c r="DF69" s="16"/>
      <c r="DG69" s="16"/>
      <c r="DH69" s="16"/>
      <c r="DI69" s="16"/>
      <c r="DJ69" s="16"/>
      <c r="DK69" s="16"/>
      <c r="DL69" s="16"/>
      <c r="DM69" s="16"/>
      <c r="DN69" s="81"/>
      <c r="DO69" s="16"/>
      <c r="DP69" s="16"/>
      <c r="DQ69" s="16"/>
      <c r="DR69" s="16"/>
      <c r="DS69" s="16"/>
      <c r="DT69" s="16"/>
      <c r="DU69" s="16"/>
      <c r="DV69" s="16"/>
    </row>
    <row r="70" spans="3:126" x14ac:dyDescent="0.45">
      <c r="C70" t="s">
        <v>1400</v>
      </c>
      <c r="D70" s="16" t="e" vm="2">
        <f ca="1">_xlfn.XLOOKUP(C70,'Consol (TB)'!C:C,'Consol (TB)'!L:L,VALUE("0"),0,1)</f>
        <v>#NAME?</v>
      </c>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9" t="e" vm="1">
        <f ca="1">BQ$4-$D70</f>
        <v>#NAME?</v>
      </c>
      <c r="BR70" s="16"/>
      <c r="BS70" s="16"/>
      <c r="BT70" s="16"/>
      <c r="BU70" s="16"/>
      <c r="BV70" s="16"/>
      <c r="BW70" s="16"/>
      <c r="BX70" s="16"/>
      <c r="BY70" s="16"/>
      <c r="BZ70" s="16"/>
      <c r="CA70" s="16"/>
      <c r="CB70" s="16"/>
      <c r="CC70" s="16"/>
      <c r="CD70" s="16"/>
      <c r="CE70" s="16"/>
      <c r="CF70" s="81"/>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c r="DF70" s="16"/>
      <c r="DG70" s="16"/>
      <c r="DH70" s="16"/>
      <c r="DI70" s="16"/>
      <c r="DJ70" s="16"/>
      <c r="DK70" s="16"/>
      <c r="DL70" s="16"/>
      <c r="DM70" s="16"/>
      <c r="DN70" s="81"/>
      <c r="DO70" s="16"/>
      <c r="DP70" s="16"/>
      <c r="DQ70" s="16"/>
      <c r="DR70" s="16"/>
      <c r="DS70" s="16"/>
      <c r="DT70" s="16"/>
      <c r="DU70" s="16"/>
      <c r="DV70" s="16"/>
    </row>
    <row r="71" spans="3:126" x14ac:dyDescent="0.45">
      <c r="C71" t="s">
        <v>1401</v>
      </c>
      <c r="D71" s="16" t="e" vm="2">
        <f ca="1">_xlfn.XLOOKUP(C71,'Consol (TB)'!C:C,'Consol (TB)'!L:L,VALUE("0"),0,1)</f>
        <v>#NAME?</v>
      </c>
      <c r="E71" s="16"/>
      <c r="F71" s="16"/>
      <c r="G71" s="16"/>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9" t="e" vm="1">
        <f ca="1">BR$4-$D71</f>
        <v>#NAME?</v>
      </c>
      <c r="BS71" s="16"/>
      <c r="BT71" s="16"/>
      <c r="BU71" s="16"/>
      <c r="BV71" s="16"/>
      <c r="BW71" s="16"/>
      <c r="BX71" s="16"/>
      <c r="BY71" s="16"/>
      <c r="BZ71" s="16"/>
      <c r="CA71" s="16"/>
      <c r="CB71" s="16"/>
      <c r="CC71" s="16"/>
      <c r="CD71" s="16"/>
      <c r="CE71" s="16"/>
      <c r="CF71" s="81"/>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c r="DF71" s="16"/>
      <c r="DG71" s="16"/>
      <c r="DH71" s="16"/>
      <c r="DI71" s="16"/>
      <c r="DJ71" s="16"/>
      <c r="DK71" s="16"/>
      <c r="DL71" s="16"/>
      <c r="DM71" s="16"/>
      <c r="DN71" s="81"/>
      <c r="DO71" s="16"/>
      <c r="DP71" s="16"/>
      <c r="DQ71" s="16"/>
      <c r="DR71" s="16"/>
      <c r="DS71" s="16"/>
      <c r="DT71" s="16"/>
      <c r="DU71" s="16"/>
      <c r="DV71" s="16"/>
    </row>
    <row r="72" spans="3:126" x14ac:dyDescent="0.45">
      <c r="C72" t="s">
        <v>1402</v>
      </c>
      <c r="D72" s="16" t="e" vm="2">
        <f ca="1">_xlfn.XLOOKUP(C72,'Consol (TB)'!C:C,'Consol (TB)'!L:L,VALUE("0"),0,1)</f>
        <v>#NAME?</v>
      </c>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9" t="e" vm="1">
        <f ca="1">BS$4-$D72</f>
        <v>#NAME?</v>
      </c>
      <c r="BT72" s="16"/>
      <c r="BU72" s="16"/>
      <c r="BV72" s="16"/>
      <c r="BW72" s="16"/>
      <c r="BX72" s="16"/>
      <c r="BY72" s="16"/>
      <c r="BZ72" s="16"/>
      <c r="CA72" s="16"/>
      <c r="CB72" s="16"/>
      <c r="CC72" s="16"/>
      <c r="CD72" s="16"/>
      <c r="CE72" s="16"/>
      <c r="CF72" s="81"/>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c r="DF72" s="16"/>
      <c r="DG72" s="16"/>
      <c r="DH72" s="16"/>
      <c r="DI72" s="16"/>
      <c r="DJ72" s="16"/>
      <c r="DK72" s="16"/>
      <c r="DL72" s="16"/>
      <c r="DM72" s="16"/>
      <c r="DN72" s="81"/>
      <c r="DO72" s="16"/>
      <c r="DP72" s="16"/>
      <c r="DQ72" s="16"/>
      <c r="DR72" s="16"/>
      <c r="DS72" s="16"/>
      <c r="DT72" s="16"/>
      <c r="DU72" s="16"/>
      <c r="DV72" s="16"/>
    </row>
    <row r="73" spans="3:126" x14ac:dyDescent="0.45">
      <c r="C73" t="s">
        <v>1403</v>
      </c>
      <c r="D73" s="16" t="e" vm="2">
        <f ca="1">_xlfn.XLOOKUP(C73,'Consol (TB)'!C:C,'Consol (TB)'!L:L,VALUE("0"),0,1)</f>
        <v>#NAME?</v>
      </c>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9" t="e" vm="1">
        <f ca="1">BT$4-$D73</f>
        <v>#NAME?</v>
      </c>
      <c r="BU73" s="16"/>
      <c r="BV73" s="16"/>
      <c r="BW73" s="16"/>
      <c r="BX73" s="16"/>
      <c r="BY73" s="16"/>
      <c r="BZ73" s="16"/>
      <c r="CA73" s="16"/>
      <c r="CB73" s="16"/>
      <c r="CC73" s="16"/>
      <c r="CD73" s="16"/>
      <c r="CE73" s="16"/>
      <c r="CF73" s="81"/>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c r="DF73" s="16"/>
      <c r="DG73" s="16"/>
      <c r="DH73" s="16"/>
      <c r="DI73" s="16"/>
      <c r="DJ73" s="16"/>
      <c r="DK73" s="16"/>
      <c r="DL73" s="16"/>
      <c r="DM73" s="16"/>
      <c r="DN73" s="81"/>
      <c r="DO73" s="16"/>
      <c r="DP73" s="16"/>
      <c r="DQ73" s="16"/>
      <c r="DR73" s="16"/>
      <c r="DS73" s="16"/>
      <c r="DT73" s="16"/>
      <c r="DU73" s="16"/>
      <c r="DV73" s="16"/>
    </row>
    <row r="74" spans="3:126" x14ac:dyDescent="0.45">
      <c r="C74" t="s">
        <v>1386</v>
      </c>
      <c r="D74" s="16" t="e" vm="2">
        <f ca="1">_xlfn.XLOOKUP(C74,'Consol (TB)'!C:C,'Consol (TB)'!L:L,VALUE("0"),0,1)</f>
        <v>#NAME?</v>
      </c>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9" t="e" vm="1">
        <f ca="1">BU$4-$D74</f>
        <v>#NAME?</v>
      </c>
      <c r="BV74" s="16"/>
      <c r="BW74" s="16"/>
      <c r="BX74" s="16"/>
      <c r="BY74" s="16"/>
      <c r="BZ74" s="16"/>
      <c r="CA74" s="16"/>
      <c r="CB74" s="16"/>
      <c r="CC74" s="16"/>
      <c r="CD74" s="16"/>
      <c r="CE74" s="16"/>
      <c r="CF74" s="81"/>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81"/>
      <c r="DO74" s="16"/>
      <c r="DP74" s="16"/>
      <c r="DQ74" s="16"/>
      <c r="DR74" s="16"/>
      <c r="DS74" s="16"/>
      <c r="DT74" s="16"/>
      <c r="DU74" s="16"/>
      <c r="DV74" s="16"/>
    </row>
    <row r="75" spans="3:126" x14ac:dyDescent="0.45">
      <c r="C75" t="s">
        <v>1404</v>
      </c>
      <c r="D75" s="16" t="e" vm="2">
        <f ca="1">_xlfn.XLOOKUP(C75,'Consol (TB)'!C:C,'Consol (TB)'!L:L,VALUE("0"),0,1)</f>
        <v>#NAME?</v>
      </c>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9" t="e" vm="1">
        <f ca="1">BV$4-$D75</f>
        <v>#NAME?</v>
      </c>
      <c r="BW75" s="16"/>
      <c r="BX75" s="16"/>
      <c r="BY75" s="16"/>
      <c r="BZ75" s="16"/>
      <c r="CA75" s="16"/>
      <c r="CB75" s="16"/>
      <c r="CC75" s="16"/>
      <c r="CD75" s="16"/>
      <c r="CE75" s="16"/>
      <c r="CF75" s="81"/>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c r="DN75" s="81"/>
      <c r="DO75" s="16"/>
      <c r="DP75" s="16"/>
      <c r="DQ75" s="16"/>
      <c r="DR75" s="16"/>
      <c r="DS75" s="16"/>
      <c r="DT75" s="16"/>
      <c r="DU75" s="16"/>
      <c r="DV75" s="16"/>
    </row>
    <row r="76" spans="3:126" x14ac:dyDescent="0.45">
      <c r="C76" t="s">
        <v>1405</v>
      </c>
      <c r="D76" s="16" t="e" vm="2">
        <f ca="1">_xlfn.XLOOKUP(C76,'Consol (TB)'!C:C,'Consol (TB)'!L:L,VALUE("0"),0,1)</f>
        <v>#NAME?</v>
      </c>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9" t="e" vm="1">
        <f ca="1">BW$4-$D76</f>
        <v>#NAME?</v>
      </c>
      <c r="BX76" s="16"/>
      <c r="BY76" s="16"/>
      <c r="BZ76" s="16"/>
      <c r="CA76" s="16"/>
      <c r="CB76" s="16"/>
      <c r="CC76" s="16"/>
      <c r="CD76" s="16"/>
      <c r="CE76" s="16"/>
      <c r="CF76" s="81"/>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c r="DN76" s="81"/>
      <c r="DO76" s="16"/>
      <c r="DP76" s="16"/>
      <c r="DQ76" s="16"/>
      <c r="DR76" s="16"/>
      <c r="DS76" s="16"/>
      <c r="DT76" s="16"/>
      <c r="DU76" s="16"/>
      <c r="DV76" s="16"/>
    </row>
    <row r="77" spans="3:126" x14ac:dyDescent="0.45">
      <c r="C77" t="s">
        <v>1406</v>
      </c>
      <c r="D77" s="16" t="e" vm="2">
        <f ca="1">_xlfn.XLOOKUP(C77,'Consol (TB)'!C:C,'Consol (TB)'!L:L,VALUE("0"),0,1)</f>
        <v>#NAME?</v>
      </c>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9" t="e" vm="1">
        <f ca="1">BX$4-$D77</f>
        <v>#NAME?</v>
      </c>
      <c r="BY77" s="16"/>
      <c r="BZ77" s="16"/>
      <c r="CA77" s="16"/>
      <c r="CB77" s="16"/>
      <c r="CC77" s="16"/>
      <c r="CD77" s="16"/>
      <c r="CE77" s="16"/>
      <c r="CF77" s="81"/>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c r="DF77" s="16"/>
      <c r="DG77" s="16"/>
      <c r="DH77" s="16"/>
      <c r="DI77" s="16"/>
      <c r="DJ77" s="16"/>
      <c r="DK77" s="16"/>
      <c r="DL77" s="16"/>
      <c r="DM77" s="16"/>
      <c r="DN77" s="81"/>
      <c r="DO77" s="16"/>
      <c r="DP77" s="16"/>
      <c r="DQ77" s="16"/>
      <c r="DR77" s="16"/>
      <c r="DS77" s="16"/>
      <c r="DT77" s="16"/>
      <c r="DU77" s="16"/>
      <c r="DV77" s="16"/>
    </row>
    <row r="78" spans="3:126" x14ac:dyDescent="0.45">
      <c r="C78" t="s">
        <v>1407</v>
      </c>
      <c r="D78" s="16" t="e" vm="2">
        <f ca="1">_xlfn.XLOOKUP(C78,'Consol (TB)'!C:C,'Consol (TB)'!L:L,VALUE("0"),0,1)</f>
        <v>#NAME?</v>
      </c>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9" t="e" vm="1">
        <f ca="1">BY$4-$D78</f>
        <v>#NAME?</v>
      </c>
      <c r="BZ78" s="16"/>
      <c r="CA78" s="16"/>
      <c r="CB78" s="16"/>
      <c r="CC78" s="16"/>
      <c r="CD78" s="16"/>
      <c r="CE78" s="16"/>
      <c r="CF78" s="81"/>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c r="DF78" s="16"/>
      <c r="DG78" s="16"/>
      <c r="DH78" s="16"/>
      <c r="DI78" s="16"/>
      <c r="DJ78" s="16"/>
      <c r="DK78" s="16"/>
      <c r="DL78" s="16"/>
      <c r="DM78" s="16"/>
      <c r="DN78" s="81"/>
      <c r="DO78" s="16"/>
      <c r="DP78" s="16"/>
      <c r="DQ78" s="16"/>
      <c r="DR78" s="16"/>
      <c r="DS78" s="16"/>
      <c r="DT78" s="16"/>
      <c r="DU78" s="16"/>
      <c r="DV78" s="16"/>
    </row>
    <row r="79" spans="3:126" x14ac:dyDescent="0.45">
      <c r="C79" t="s">
        <v>1408</v>
      </c>
      <c r="D79" s="16" t="e" vm="2">
        <f ca="1">_xlfn.XLOOKUP(C79,'Consol (TB)'!C:C,'Consol (TB)'!L:L,VALUE("0"),0,1)</f>
        <v>#NAME?</v>
      </c>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9" t="e" vm="1">
        <f ca="1">BZ$4-$D79</f>
        <v>#NAME?</v>
      </c>
      <c r="CA79" s="16"/>
      <c r="CB79" s="16"/>
      <c r="CC79" s="16"/>
      <c r="CD79" s="16"/>
      <c r="CE79" s="16"/>
      <c r="CF79" s="81"/>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c r="DF79" s="16"/>
      <c r="DG79" s="16"/>
      <c r="DH79" s="16"/>
      <c r="DI79" s="16"/>
      <c r="DJ79" s="16"/>
      <c r="DK79" s="16"/>
      <c r="DL79" s="16"/>
      <c r="DM79" s="16"/>
      <c r="DN79" s="81"/>
      <c r="DO79" s="16"/>
      <c r="DP79" s="16"/>
      <c r="DQ79" s="16"/>
      <c r="DR79" s="16"/>
      <c r="DS79" s="16"/>
      <c r="DT79" s="16"/>
      <c r="DU79" s="16"/>
      <c r="DV79" s="16"/>
    </row>
    <row r="80" spans="3:126" x14ac:dyDescent="0.45">
      <c r="C80" t="s">
        <v>1409</v>
      </c>
      <c r="D80" s="16" t="e" vm="2">
        <f ca="1">_xlfn.XLOOKUP(C80,'Consol (TB)'!C:C,'Consol (TB)'!L:L,VALUE("0"),0,1)</f>
        <v>#NAME?</v>
      </c>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9" t="e" vm="1">
        <f ca="1">CA$4-$D80</f>
        <v>#NAME?</v>
      </c>
      <c r="CB80" s="16"/>
      <c r="CC80" s="16"/>
      <c r="CD80" s="16"/>
      <c r="CE80" s="16"/>
      <c r="CF80" s="81"/>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c r="DF80" s="16"/>
      <c r="DG80" s="16"/>
      <c r="DH80" s="16"/>
      <c r="DI80" s="16"/>
      <c r="DJ80" s="16"/>
      <c r="DK80" s="16"/>
      <c r="DL80" s="16"/>
      <c r="DM80" s="16"/>
      <c r="DN80" s="81"/>
      <c r="DO80" s="16"/>
      <c r="DP80" s="16"/>
      <c r="DQ80" s="16"/>
      <c r="DR80" s="16"/>
      <c r="DS80" s="16"/>
      <c r="DT80" s="16"/>
      <c r="DU80" s="16"/>
      <c r="DV80" s="16"/>
    </row>
    <row r="81" spans="3:126" x14ac:dyDescent="0.45">
      <c r="C81" t="s">
        <v>1410</v>
      </c>
      <c r="D81" s="16" t="e" vm="2">
        <f ca="1">_xlfn.XLOOKUP(C81,'Consol (TB)'!C:C,'Consol (TB)'!L:L,VALUE("0"),0,1)</f>
        <v>#NAME?</v>
      </c>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9" t="e" vm="1">
        <f ca="1">CB$4-$D81</f>
        <v>#NAME?</v>
      </c>
      <c r="CC81" s="16"/>
      <c r="CD81" s="16"/>
      <c r="CE81" s="16"/>
      <c r="CF81" s="81"/>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c r="DF81" s="16"/>
      <c r="DG81" s="16"/>
      <c r="DH81" s="16"/>
      <c r="DI81" s="16"/>
      <c r="DJ81" s="16"/>
      <c r="DK81" s="16"/>
      <c r="DL81" s="16"/>
      <c r="DM81" s="16"/>
      <c r="DN81" s="81"/>
      <c r="DO81" s="16"/>
      <c r="DP81" s="16"/>
      <c r="DQ81" s="16"/>
      <c r="DR81" s="16"/>
      <c r="DS81" s="16"/>
      <c r="DT81" s="16"/>
      <c r="DU81" s="16"/>
      <c r="DV81" s="16"/>
    </row>
    <row r="82" spans="3:126" x14ac:dyDescent="0.45">
      <c r="C82" t="s">
        <v>1411</v>
      </c>
      <c r="D82" s="16" t="e" vm="2">
        <f ca="1">_xlfn.XLOOKUP(C82,'Consol (TB)'!C:C,'Consol (TB)'!L:L,VALUE("0"),0,1)</f>
        <v>#NAME?</v>
      </c>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9" t="e" vm="1">
        <f ca="1">CC$4-$D82</f>
        <v>#NAME?</v>
      </c>
      <c r="CD82" s="16"/>
      <c r="CE82" s="16"/>
      <c r="CF82" s="81"/>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c r="DF82" s="16"/>
      <c r="DG82" s="16"/>
      <c r="DH82" s="16"/>
      <c r="DI82" s="16"/>
      <c r="DJ82" s="16"/>
      <c r="DK82" s="16"/>
      <c r="DL82" s="16"/>
      <c r="DM82" s="16"/>
      <c r="DN82" s="81"/>
      <c r="DO82" s="16"/>
      <c r="DP82" s="16"/>
      <c r="DQ82" s="16"/>
      <c r="DR82" s="16"/>
      <c r="DS82" s="16"/>
      <c r="DT82" s="16"/>
      <c r="DU82" s="16"/>
      <c r="DV82" s="16"/>
    </row>
    <row r="83" spans="3:126" x14ac:dyDescent="0.45">
      <c r="C83" t="s">
        <v>1412</v>
      </c>
      <c r="D83" s="16" t="e" vm="2">
        <f ca="1">_xlfn.XLOOKUP(C83,'Consol (TB)'!C:C,'Consol (TB)'!L:L,VALUE("0"),0,1)</f>
        <v>#NAME?</v>
      </c>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9" t="e" vm="1">
        <f ca="1">CD$4-$D83</f>
        <v>#NAME?</v>
      </c>
      <c r="CE83" s="16"/>
      <c r="CF83" s="81"/>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c r="DF83" s="16"/>
      <c r="DG83" s="16"/>
      <c r="DH83" s="16"/>
      <c r="DI83" s="16"/>
      <c r="DJ83" s="16"/>
      <c r="DK83" s="16"/>
      <c r="DL83" s="16"/>
      <c r="DM83" s="16"/>
      <c r="DN83" s="81"/>
      <c r="DO83" s="16"/>
      <c r="DP83" s="16"/>
      <c r="DQ83" s="16"/>
      <c r="DR83" s="16"/>
      <c r="DS83" s="16"/>
      <c r="DT83" s="16"/>
      <c r="DU83" s="16"/>
      <c r="DV83" s="16"/>
    </row>
    <row r="84" spans="3:126" x14ac:dyDescent="0.45">
      <c r="C84" t="s">
        <v>1421</v>
      </c>
      <c r="D84" s="16" t="e" vm="2">
        <f ca="1">_xlfn.XLOOKUP(C84,'Consol (TB)'!C:C,'Consol (TB)'!L:L,VALUE("0"),0,1)</f>
        <v>#NAME?</v>
      </c>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9" t="e" vm="1">
        <f ca="1">CE$4-$D84</f>
        <v>#NAME?</v>
      </c>
      <c r="CF84" s="81"/>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c r="DF84" s="16"/>
      <c r="DG84" s="16"/>
      <c r="DH84" s="16"/>
      <c r="DI84" s="16"/>
      <c r="DJ84" s="16"/>
      <c r="DK84" s="16"/>
      <c r="DL84" s="16"/>
      <c r="DM84" s="16"/>
      <c r="DN84" s="81"/>
      <c r="DO84" s="16"/>
      <c r="DP84" s="16"/>
      <c r="DQ84" s="16"/>
      <c r="DR84" s="16"/>
      <c r="DS84" s="16"/>
      <c r="DT84" s="16"/>
      <c r="DU84" s="16"/>
      <c r="DV84" s="16"/>
    </row>
    <row r="85" spans="3:126" x14ac:dyDescent="0.45">
      <c r="C85" t="s">
        <v>1137</v>
      </c>
      <c r="D85" s="16" t="e" vm="2">
        <f ca="1">_xlfn.XLOOKUP(C85,'Consol (TB)'!C:C,'Consol (TB)'!L:L,VALUE("0"),0,1)</f>
        <v>#NAME?</v>
      </c>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81" t="e" vm="1">
        <f ca="1">CF$4-$D85</f>
        <v>#NAME?</v>
      </c>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c r="DF85" s="16"/>
      <c r="DG85" s="16"/>
      <c r="DH85" s="16"/>
      <c r="DI85" s="16"/>
      <c r="DJ85" s="16"/>
      <c r="DK85" s="16"/>
      <c r="DL85" s="16"/>
      <c r="DM85" s="16"/>
      <c r="DN85" s="81"/>
      <c r="DO85" s="16"/>
      <c r="DP85" s="16"/>
      <c r="DQ85" s="16"/>
      <c r="DR85" s="16"/>
      <c r="DS85" s="16"/>
      <c r="DT85" s="16"/>
      <c r="DU85" s="16"/>
      <c r="DV85" s="16"/>
    </row>
    <row r="86" spans="3:126" x14ac:dyDescent="0.45">
      <c r="C86" t="s">
        <v>1138</v>
      </c>
      <c r="D86" s="16" t="e" vm="2">
        <f ca="1">_xlfn.XLOOKUP(C86,'Consol (TB)'!C:C,'Consol (TB)'!L:L,VALUE("0"),0,1)</f>
        <v>#NAME?</v>
      </c>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81"/>
      <c r="CG86" s="19" t="e" vm="1">
        <f ca="1">CG$4-$D86</f>
        <v>#NAME?</v>
      </c>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81"/>
      <c r="DO86" s="16"/>
      <c r="DP86" s="16"/>
      <c r="DQ86" s="16"/>
      <c r="DR86" s="16"/>
      <c r="DS86" s="16"/>
      <c r="DT86" s="16"/>
      <c r="DU86" s="16"/>
      <c r="DV86" s="16"/>
    </row>
    <row r="87" spans="3:126" x14ac:dyDescent="0.45">
      <c r="C87" t="s">
        <v>1139</v>
      </c>
      <c r="D87" s="16" t="e" vm="2">
        <f ca="1">_xlfn.XLOOKUP(C87,'Consol (TB)'!C:C,'Consol (TB)'!L:L,VALUE("0"),0,1)</f>
        <v>#NAME?</v>
      </c>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81"/>
      <c r="CG87" s="16"/>
      <c r="CH87" s="19" t="e" vm="1">
        <f ca="1">CH$4-$D87</f>
        <v>#NAME?</v>
      </c>
      <c r="CI87" s="16"/>
      <c r="CJ87" s="16"/>
      <c r="CK87" s="16"/>
      <c r="CL87" s="16"/>
      <c r="CM87" s="16"/>
      <c r="CN87" s="16"/>
      <c r="CO87" s="16"/>
      <c r="CP87" s="16"/>
      <c r="CQ87" s="16"/>
      <c r="CR87" s="16"/>
      <c r="CS87" s="16"/>
      <c r="CT87" s="16"/>
      <c r="CU87" s="16"/>
      <c r="CV87" s="16"/>
      <c r="CW87" s="16"/>
      <c r="CX87" s="16"/>
      <c r="CY87" s="16"/>
      <c r="CZ87" s="16"/>
      <c r="DA87" s="16"/>
      <c r="DB87" s="16"/>
      <c r="DC87" s="16"/>
      <c r="DD87" s="16"/>
      <c r="DE87" s="16"/>
      <c r="DF87" s="16"/>
      <c r="DG87" s="16"/>
      <c r="DH87" s="16"/>
      <c r="DI87" s="16"/>
      <c r="DJ87" s="16"/>
      <c r="DK87" s="16"/>
      <c r="DL87" s="16"/>
      <c r="DM87" s="16"/>
      <c r="DN87" s="81"/>
      <c r="DO87" s="16"/>
      <c r="DP87" s="16"/>
      <c r="DQ87" s="16"/>
      <c r="DR87" s="16"/>
      <c r="DS87" s="16"/>
      <c r="DT87" s="16"/>
      <c r="DU87" s="16"/>
      <c r="DV87" s="16"/>
    </row>
    <row r="88" spans="3:126" x14ac:dyDescent="0.45">
      <c r="C88" t="s">
        <v>1140</v>
      </c>
      <c r="D88" s="16" t="e" vm="2">
        <f ca="1">_xlfn.XLOOKUP(C88,'Consol (TB)'!C:C,'Consol (TB)'!L:L,VALUE("0"),0,1)</f>
        <v>#NAME?</v>
      </c>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81"/>
      <c r="CG88" s="16"/>
      <c r="CH88" s="16"/>
      <c r="CI88" s="19" t="e" vm="1">
        <f ca="1">CI$4-$D88</f>
        <v>#NAME?</v>
      </c>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c r="DM88" s="16"/>
      <c r="DN88" s="81"/>
      <c r="DO88" s="16"/>
      <c r="DP88" s="16"/>
      <c r="DQ88" s="16"/>
      <c r="DR88" s="16"/>
      <c r="DS88" s="16"/>
      <c r="DT88" s="16"/>
      <c r="DU88" s="16"/>
      <c r="DV88" s="16"/>
    </row>
    <row r="89" spans="3:126" x14ac:dyDescent="0.45">
      <c r="C89" t="s">
        <v>1141</v>
      </c>
      <c r="D89" s="16" t="e" vm="2">
        <f ca="1">_xlfn.XLOOKUP(C89,'Consol (TB)'!C:C,'Consol (TB)'!L:L,VALUE("0"),0,1)</f>
        <v>#NAME?</v>
      </c>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81"/>
      <c r="CG89" s="16"/>
      <c r="CH89" s="16"/>
      <c r="CI89" s="16"/>
      <c r="CJ89" s="19" t="e" vm="1">
        <f ca="1">CJ$4-$D89</f>
        <v>#NAME?</v>
      </c>
      <c r="CK89" s="16"/>
      <c r="CL89" s="16"/>
      <c r="CM89" s="16"/>
      <c r="CN89" s="16"/>
      <c r="CO89" s="16"/>
      <c r="CP89" s="16"/>
      <c r="CQ89" s="16"/>
      <c r="CR89" s="16"/>
      <c r="CS89" s="16"/>
      <c r="CT89" s="16"/>
      <c r="CU89" s="16"/>
      <c r="CV89" s="16"/>
      <c r="CW89" s="16"/>
      <c r="CX89" s="16"/>
      <c r="CY89" s="16"/>
      <c r="CZ89" s="16"/>
      <c r="DA89" s="16"/>
      <c r="DB89" s="16"/>
      <c r="DC89" s="16"/>
      <c r="DD89" s="16"/>
      <c r="DE89" s="16"/>
      <c r="DF89" s="16"/>
      <c r="DG89" s="16"/>
      <c r="DH89" s="16"/>
      <c r="DI89" s="16"/>
      <c r="DJ89" s="16"/>
      <c r="DK89" s="16"/>
      <c r="DL89" s="16"/>
      <c r="DM89" s="16"/>
      <c r="DN89" s="81"/>
      <c r="DO89" s="16"/>
      <c r="DP89" s="16"/>
      <c r="DQ89" s="16"/>
      <c r="DR89" s="16"/>
      <c r="DS89" s="16"/>
      <c r="DT89" s="16"/>
      <c r="DU89" s="16"/>
      <c r="DV89" s="16"/>
    </row>
    <row r="90" spans="3:126" x14ac:dyDescent="0.45">
      <c r="C90" t="s">
        <v>1142</v>
      </c>
      <c r="D90" s="16" t="e" vm="2">
        <f ca="1">_xlfn.XLOOKUP(C90,'Consol (TB)'!C:C,'Consol (TB)'!L:L,VALUE("0"),0,1)</f>
        <v>#NAME?</v>
      </c>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81"/>
      <c r="CG90" s="16"/>
      <c r="CH90" s="16"/>
      <c r="CI90" s="16"/>
      <c r="CJ90" s="16"/>
      <c r="CK90" s="19" t="e" vm="1">
        <f ca="1">CK$4-$D90</f>
        <v>#NAME?</v>
      </c>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81"/>
      <c r="DO90" s="16"/>
      <c r="DP90" s="16"/>
      <c r="DQ90" s="16"/>
      <c r="DR90" s="16"/>
      <c r="DS90" s="16"/>
      <c r="DT90" s="16"/>
      <c r="DU90" s="16"/>
      <c r="DV90" s="16"/>
    </row>
    <row r="91" spans="3:126" x14ac:dyDescent="0.45">
      <c r="C91" t="s">
        <v>1143</v>
      </c>
      <c r="D91" s="16" t="e" vm="2">
        <f ca="1">_xlfn.XLOOKUP(C91,'Consol (TB)'!C:C,'Consol (TB)'!L:L,VALUE("0"),0,1)</f>
        <v>#NAME?</v>
      </c>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81"/>
      <c r="CG91" s="16"/>
      <c r="CH91" s="16"/>
      <c r="CI91" s="16"/>
      <c r="CJ91" s="16"/>
      <c r="CK91" s="16"/>
      <c r="CL91" s="19" t="e" vm="1">
        <f ca="1">CL$4-$D91</f>
        <v>#NAME?</v>
      </c>
      <c r="CM91" s="16"/>
      <c r="CN91" s="16"/>
      <c r="CO91" s="16"/>
      <c r="CP91" s="16"/>
      <c r="CQ91" s="16"/>
      <c r="CR91" s="16"/>
      <c r="CS91" s="16"/>
      <c r="CT91" s="16"/>
      <c r="CU91" s="16"/>
      <c r="CV91" s="16"/>
      <c r="CW91" s="16"/>
      <c r="CX91" s="16"/>
      <c r="CY91" s="16"/>
      <c r="CZ91" s="16"/>
      <c r="DA91" s="16"/>
      <c r="DB91" s="16"/>
      <c r="DC91" s="16"/>
      <c r="DD91" s="16"/>
      <c r="DE91" s="16"/>
      <c r="DF91" s="16"/>
      <c r="DG91" s="16"/>
      <c r="DH91" s="16"/>
      <c r="DI91" s="16"/>
      <c r="DJ91" s="16"/>
      <c r="DK91" s="16"/>
      <c r="DL91" s="16"/>
      <c r="DM91" s="16"/>
      <c r="DN91" s="81"/>
      <c r="DO91" s="16"/>
      <c r="DP91" s="16"/>
      <c r="DQ91" s="16"/>
      <c r="DR91" s="16"/>
      <c r="DS91" s="16"/>
      <c r="DT91" s="16"/>
      <c r="DU91" s="16"/>
      <c r="DV91" s="16"/>
    </row>
    <row r="92" spans="3:126" x14ac:dyDescent="0.45">
      <c r="C92" t="s">
        <v>1144</v>
      </c>
      <c r="D92" s="16" t="e" vm="2">
        <f ca="1">_xlfn.XLOOKUP(C92,'Consol (TB)'!C:C,'Consol (TB)'!L:L,VALUE("0"),0,1)</f>
        <v>#NAME?</v>
      </c>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81"/>
      <c r="CG92" s="16"/>
      <c r="CH92" s="16"/>
      <c r="CI92" s="16"/>
      <c r="CJ92" s="16"/>
      <c r="CK92" s="16"/>
      <c r="CL92" s="16"/>
      <c r="CM92" s="19" t="e" vm="1">
        <f ca="1">CM$4-$D92</f>
        <v>#NAME?</v>
      </c>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81"/>
      <c r="DO92" s="16"/>
      <c r="DP92" s="16"/>
      <c r="DQ92" s="16"/>
      <c r="DR92" s="16"/>
      <c r="DS92" s="16"/>
      <c r="DT92" s="16"/>
      <c r="DU92" s="16"/>
      <c r="DV92" s="16"/>
    </row>
    <row r="93" spans="3:126" x14ac:dyDescent="0.45">
      <c r="C93" t="s">
        <v>1557</v>
      </c>
      <c r="D93" s="16" t="e" vm="2">
        <f ca="1">_xlfn.XLOOKUP(C93,'Consol (TB)'!C:C,'Consol (TB)'!L:L,VALUE("0"),0,1)</f>
        <v>#NAME?</v>
      </c>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81"/>
      <c r="CG93" s="16"/>
      <c r="CH93" s="16"/>
      <c r="CI93" s="16"/>
      <c r="CJ93" s="16"/>
      <c r="CK93" s="16"/>
      <c r="CL93" s="16"/>
      <c r="CM93" s="16"/>
      <c r="CN93" s="19" t="e" vm="1">
        <f ca="1">CN$4-$D93</f>
        <v>#NAME?</v>
      </c>
      <c r="CO93" s="16"/>
      <c r="CP93" s="16"/>
      <c r="CQ93" s="16"/>
      <c r="CR93" s="16"/>
      <c r="CS93" s="16"/>
      <c r="CT93" s="16"/>
      <c r="CU93" s="16"/>
      <c r="CV93" s="16"/>
      <c r="CW93" s="16"/>
      <c r="CX93" s="16"/>
      <c r="CY93" s="16"/>
      <c r="CZ93" s="16"/>
      <c r="DA93" s="16"/>
      <c r="DB93" s="16"/>
      <c r="DC93" s="16"/>
      <c r="DD93" s="16"/>
      <c r="DE93" s="16"/>
      <c r="DF93" s="16"/>
      <c r="DG93" s="16"/>
      <c r="DH93" s="16"/>
      <c r="DI93" s="16"/>
      <c r="DJ93" s="16"/>
      <c r="DK93" s="16"/>
      <c r="DL93" s="16"/>
      <c r="DM93" s="16"/>
      <c r="DN93" s="81"/>
      <c r="DO93" s="16"/>
      <c r="DP93" s="16"/>
      <c r="DQ93" s="16"/>
      <c r="DR93" s="16"/>
      <c r="DS93" s="16"/>
      <c r="DT93" s="16"/>
      <c r="DU93" s="16"/>
      <c r="DV93" s="16"/>
    </row>
    <row r="94" spans="3:126" x14ac:dyDescent="0.45">
      <c r="C94" t="s">
        <v>1145</v>
      </c>
      <c r="D94" s="16" t="e" vm="2">
        <f ca="1">_xlfn.XLOOKUP(C94,'Consol (TB)'!C:C,'Consol (TB)'!L:L,VALUE("0"),0,1)</f>
        <v>#NAME?</v>
      </c>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81"/>
      <c r="CG94" s="16"/>
      <c r="CH94" s="16"/>
      <c r="CI94" s="16"/>
      <c r="CJ94" s="16"/>
      <c r="CK94" s="16"/>
      <c r="CL94" s="16"/>
      <c r="CM94" s="16"/>
      <c r="CN94" s="16"/>
      <c r="CO94" s="19" t="e" vm="1">
        <f ca="1">CO$4-$D94</f>
        <v>#NAME?</v>
      </c>
      <c r="CP94" s="16"/>
      <c r="CQ94" s="16"/>
      <c r="CR94" s="16"/>
      <c r="CS94" s="16"/>
      <c r="CT94" s="16"/>
      <c r="CU94" s="16"/>
      <c r="CV94" s="16"/>
      <c r="CW94" s="16"/>
      <c r="CX94" s="16"/>
      <c r="CY94" s="16"/>
      <c r="CZ94" s="16"/>
      <c r="DA94" s="16"/>
      <c r="DB94" s="16"/>
      <c r="DC94" s="16"/>
      <c r="DD94" s="16"/>
      <c r="DE94" s="16"/>
      <c r="DF94" s="16"/>
      <c r="DG94" s="16"/>
      <c r="DH94" s="16"/>
      <c r="DI94" s="16"/>
      <c r="DJ94" s="16"/>
      <c r="DK94" s="16"/>
      <c r="DL94" s="16"/>
      <c r="DM94" s="16"/>
      <c r="DN94" s="81"/>
      <c r="DO94" s="16"/>
      <c r="DP94" s="16"/>
      <c r="DQ94" s="16"/>
      <c r="DR94" s="16"/>
      <c r="DS94" s="16"/>
      <c r="DT94" s="16"/>
      <c r="DU94" s="16"/>
      <c r="DV94" s="16"/>
    </row>
    <row r="95" spans="3:126" x14ac:dyDescent="0.45">
      <c r="C95" t="s">
        <v>1393</v>
      </c>
      <c r="D95" s="16" t="e" vm="2">
        <f ca="1">_xlfn.XLOOKUP(C95,'Consol (TB)'!C:C,'Consol (TB)'!L:L,VALUE("0"),0,1)</f>
        <v>#NAME?</v>
      </c>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81"/>
      <c r="CG95" s="16"/>
      <c r="CH95" s="16"/>
      <c r="CI95" s="16"/>
      <c r="CJ95" s="16"/>
      <c r="CK95" s="16"/>
      <c r="CL95" s="16"/>
      <c r="CM95" s="16"/>
      <c r="CN95" s="16"/>
      <c r="CO95" s="16"/>
      <c r="CP95" s="19" t="e" vm="1">
        <f ca="1">CP$4-$D95</f>
        <v>#NAME?</v>
      </c>
      <c r="CQ95" s="16"/>
      <c r="CR95" s="16"/>
      <c r="CS95" s="16"/>
      <c r="CT95" s="16"/>
      <c r="CU95" s="16"/>
      <c r="CV95" s="16"/>
      <c r="CW95" s="16"/>
      <c r="CX95" s="16"/>
      <c r="CY95" s="16"/>
      <c r="CZ95" s="16"/>
      <c r="DA95" s="16"/>
      <c r="DB95" s="16"/>
      <c r="DC95" s="16"/>
      <c r="DD95" s="16"/>
      <c r="DE95" s="16"/>
      <c r="DF95" s="16"/>
      <c r="DG95" s="16"/>
      <c r="DH95" s="16"/>
      <c r="DI95" s="16"/>
      <c r="DJ95" s="16"/>
      <c r="DK95" s="16"/>
      <c r="DL95" s="16"/>
      <c r="DM95" s="16"/>
      <c r="DN95" s="81"/>
      <c r="DO95" s="16"/>
      <c r="DP95" s="16"/>
      <c r="DQ95" s="16"/>
      <c r="DR95" s="16"/>
      <c r="DS95" s="16"/>
      <c r="DT95" s="16"/>
      <c r="DU95" s="16"/>
      <c r="DV95" s="16"/>
    </row>
    <row r="96" spans="3:126" x14ac:dyDescent="0.45">
      <c r="C96" t="s">
        <v>1146</v>
      </c>
      <c r="D96" s="16" t="e" vm="2">
        <f ca="1">_xlfn.XLOOKUP(C96,'Consol (TB)'!C:C,'Consol (TB)'!L:L,VALUE("0"),0,1)</f>
        <v>#NAME?</v>
      </c>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81"/>
      <c r="CG96" s="16"/>
      <c r="CH96" s="16"/>
      <c r="CI96" s="16"/>
      <c r="CJ96" s="16"/>
      <c r="CK96" s="16"/>
      <c r="CL96" s="16"/>
      <c r="CM96" s="16"/>
      <c r="CN96" s="16"/>
      <c r="CO96" s="16"/>
      <c r="CP96" s="16"/>
      <c r="CQ96" s="19" t="e" vm="1">
        <f ca="1">CQ$4-$D96</f>
        <v>#NAME?</v>
      </c>
      <c r="CR96" s="16"/>
      <c r="CS96" s="16"/>
      <c r="CT96" s="16"/>
      <c r="CU96" s="16"/>
      <c r="CV96" s="16"/>
      <c r="CW96" s="16"/>
      <c r="CX96" s="16"/>
      <c r="CY96" s="16"/>
      <c r="CZ96" s="16"/>
      <c r="DA96" s="16"/>
      <c r="DB96" s="16"/>
      <c r="DC96" s="16"/>
      <c r="DD96" s="16"/>
      <c r="DE96" s="16"/>
      <c r="DF96" s="16"/>
      <c r="DG96" s="16"/>
      <c r="DH96" s="16"/>
      <c r="DI96" s="16"/>
      <c r="DJ96" s="16"/>
      <c r="DK96" s="16"/>
      <c r="DL96" s="16"/>
      <c r="DM96" s="16"/>
      <c r="DN96" s="81"/>
      <c r="DO96" s="16"/>
      <c r="DP96" s="16"/>
      <c r="DQ96" s="16"/>
      <c r="DR96" s="16"/>
      <c r="DS96" s="16"/>
      <c r="DT96" s="16"/>
      <c r="DU96" s="16"/>
      <c r="DV96" s="16"/>
    </row>
    <row r="97" spans="3:126" x14ac:dyDescent="0.45">
      <c r="C97" t="s">
        <v>1394</v>
      </c>
      <c r="D97" s="16" t="e" vm="2">
        <f ca="1">_xlfn.XLOOKUP(C97,'Consol (TB)'!C:C,'Consol (TB)'!L:L,VALUE("0"),0,1)</f>
        <v>#NAME?</v>
      </c>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81"/>
      <c r="CG97" s="16"/>
      <c r="CH97" s="16"/>
      <c r="CI97" s="16"/>
      <c r="CJ97" s="16"/>
      <c r="CK97" s="16"/>
      <c r="CL97" s="16"/>
      <c r="CM97" s="16"/>
      <c r="CN97" s="16"/>
      <c r="CO97" s="16"/>
      <c r="CP97" s="16"/>
      <c r="CQ97" s="16"/>
      <c r="CR97" s="19" t="e" vm="1">
        <f ca="1">CR$4-$D97</f>
        <v>#NAME?</v>
      </c>
      <c r="CS97" s="16"/>
      <c r="CT97" s="16"/>
      <c r="CU97" s="16"/>
      <c r="CV97" s="16"/>
      <c r="CW97" s="16"/>
      <c r="CX97" s="16"/>
      <c r="CY97" s="16"/>
      <c r="CZ97" s="16"/>
      <c r="DA97" s="16"/>
      <c r="DB97" s="16"/>
      <c r="DC97" s="16"/>
      <c r="DD97" s="16"/>
      <c r="DE97" s="16"/>
      <c r="DF97" s="16"/>
      <c r="DG97" s="16"/>
      <c r="DH97" s="16"/>
      <c r="DI97" s="16"/>
      <c r="DJ97" s="16"/>
      <c r="DK97" s="16"/>
      <c r="DL97" s="16"/>
      <c r="DM97" s="16"/>
      <c r="DN97" s="81"/>
      <c r="DO97" s="16"/>
      <c r="DP97" s="16"/>
      <c r="DQ97" s="16"/>
      <c r="DR97" s="16"/>
      <c r="DS97" s="16"/>
      <c r="DT97" s="16"/>
      <c r="DU97" s="16"/>
      <c r="DV97" s="16"/>
    </row>
    <row r="98" spans="3:126" x14ac:dyDescent="0.45">
      <c r="C98" t="s">
        <v>1423</v>
      </c>
      <c r="D98" s="16" t="e" vm="2">
        <f ca="1">_xlfn.XLOOKUP(C98,'Consol (TB)'!C:C,'Consol (TB)'!L:L,VALUE("0"),0,1)</f>
        <v>#NAME?</v>
      </c>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81"/>
      <c r="CG98" s="16"/>
      <c r="CH98" s="16"/>
      <c r="CI98" s="16"/>
      <c r="CJ98" s="16"/>
      <c r="CK98" s="16"/>
      <c r="CL98" s="16"/>
      <c r="CM98" s="16"/>
      <c r="CN98" s="16"/>
      <c r="CO98" s="16"/>
      <c r="CP98" s="16"/>
      <c r="CQ98" s="16"/>
      <c r="CR98" s="16"/>
      <c r="CS98" s="19" t="e" vm="1">
        <f ca="1">CS$4-$D98</f>
        <v>#NAME?</v>
      </c>
      <c r="CT98" s="16"/>
      <c r="CU98" s="16"/>
      <c r="CV98" s="16"/>
      <c r="CW98" s="16"/>
      <c r="CX98" s="16"/>
      <c r="CY98" s="16"/>
      <c r="CZ98" s="16"/>
      <c r="DA98" s="16"/>
      <c r="DB98" s="16"/>
      <c r="DC98" s="16"/>
      <c r="DD98" s="16"/>
      <c r="DE98" s="16"/>
      <c r="DF98" s="16"/>
      <c r="DG98" s="16"/>
      <c r="DH98" s="16"/>
      <c r="DI98" s="16"/>
      <c r="DJ98" s="16"/>
      <c r="DK98" s="16"/>
      <c r="DL98" s="16"/>
      <c r="DM98" s="16"/>
      <c r="DN98" s="81"/>
      <c r="DO98" s="16"/>
      <c r="DP98" s="16"/>
      <c r="DQ98" s="16"/>
      <c r="DR98" s="16"/>
      <c r="DS98" s="16"/>
      <c r="DT98" s="16"/>
      <c r="DU98" s="16"/>
      <c r="DV98" s="16"/>
    </row>
    <row r="99" spans="3:126" x14ac:dyDescent="0.45">
      <c r="C99" t="s">
        <v>1427</v>
      </c>
      <c r="D99" s="16" t="e" vm="2">
        <f ca="1">_xlfn.XLOOKUP(C99,'Consol (TB)'!C:C,'Consol (TB)'!L:L,VALUE("0"),0,1)</f>
        <v>#NAME?</v>
      </c>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81"/>
      <c r="CG99" s="16"/>
      <c r="CH99" s="16"/>
      <c r="CI99" s="16"/>
      <c r="CJ99" s="16"/>
      <c r="CK99" s="16"/>
      <c r="CL99" s="16"/>
      <c r="CM99" s="16"/>
      <c r="CN99" s="16"/>
      <c r="CO99" s="16"/>
      <c r="CP99" s="16"/>
      <c r="CQ99" s="16"/>
      <c r="CR99" s="16"/>
      <c r="CS99" s="16"/>
      <c r="CT99" s="19" t="e" vm="1">
        <f ca="1">CT$4-$D99</f>
        <v>#NAME?</v>
      </c>
      <c r="CU99" s="16"/>
      <c r="CV99" s="16"/>
      <c r="CW99" s="16"/>
      <c r="CX99" s="16"/>
      <c r="CY99" s="16"/>
      <c r="CZ99" s="16"/>
      <c r="DA99" s="16"/>
      <c r="DB99" s="16"/>
      <c r="DC99" s="16"/>
      <c r="DD99" s="16"/>
      <c r="DE99" s="16"/>
      <c r="DF99" s="16"/>
      <c r="DG99" s="16"/>
      <c r="DH99" s="16"/>
      <c r="DI99" s="16"/>
      <c r="DJ99" s="16"/>
      <c r="DK99" s="16"/>
      <c r="DL99" s="16"/>
      <c r="DM99" s="16"/>
      <c r="DN99" s="81"/>
      <c r="DO99" s="16"/>
      <c r="DP99" s="16"/>
      <c r="DQ99" s="16"/>
      <c r="DR99" s="16"/>
      <c r="DS99" s="16"/>
      <c r="DT99" s="16"/>
      <c r="DU99" s="16"/>
      <c r="DV99" s="16"/>
    </row>
    <row r="100" spans="3:126" x14ac:dyDescent="0.45">
      <c r="C100" t="s">
        <v>1397</v>
      </c>
      <c r="D100" s="16" t="e" vm="2">
        <f ca="1">_xlfn.XLOOKUP(C100,'Consol (TB)'!C:C,'Consol (TB)'!L:L,VALUE("0"),0,1)</f>
        <v>#NAME?</v>
      </c>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81"/>
      <c r="CG100" s="16"/>
      <c r="CH100" s="16"/>
      <c r="CI100" s="16"/>
      <c r="CJ100" s="16"/>
      <c r="CK100" s="16"/>
      <c r="CL100" s="16"/>
      <c r="CM100" s="16"/>
      <c r="CN100" s="16"/>
      <c r="CO100" s="16"/>
      <c r="CP100" s="16"/>
      <c r="CQ100" s="16"/>
      <c r="CR100" s="16"/>
      <c r="CS100" s="16"/>
      <c r="CT100" s="16"/>
      <c r="CU100" s="19" t="e" vm="1">
        <f ca="1">CU$4-$D100</f>
        <v>#NAME?</v>
      </c>
      <c r="CV100" s="16"/>
      <c r="CW100" s="16"/>
      <c r="CX100" s="16"/>
      <c r="CY100" s="16"/>
      <c r="CZ100" s="16"/>
      <c r="DA100" s="16"/>
      <c r="DB100" s="16"/>
      <c r="DC100" s="16"/>
      <c r="DD100" s="16"/>
      <c r="DE100" s="16"/>
      <c r="DF100" s="16"/>
      <c r="DG100" s="16"/>
      <c r="DH100" s="16"/>
      <c r="DI100" s="16"/>
      <c r="DJ100" s="16"/>
      <c r="DK100" s="16"/>
      <c r="DL100" s="16"/>
      <c r="DM100" s="16"/>
      <c r="DN100" s="81"/>
      <c r="DO100" s="16"/>
      <c r="DP100" s="16"/>
      <c r="DQ100" s="16"/>
      <c r="DR100" s="16"/>
      <c r="DS100" s="16"/>
      <c r="DT100" s="16"/>
      <c r="DU100" s="16"/>
      <c r="DV100" s="16"/>
    </row>
    <row r="101" spans="3:126" x14ac:dyDescent="0.45">
      <c r="C101" t="s">
        <v>1147</v>
      </c>
      <c r="D101" s="16" t="e" vm="2">
        <f ca="1">_xlfn.XLOOKUP(C101,'Consol (TB)'!C:C,'Consol (TB)'!L:L,VALUE("0"),0,1)</f>
        <v>#NAME?</v>
      </c>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81"/>
      <c r="CG101" s="16"/>
      <c r="CH101" s="16"/>
      <c r="CI101" s="16"/>
      <c r="CJ101" s="16"/>
      <c r="CK101" s="16"/>
      <c r="CL101" s="16"/>
      <c r="CM101" s="16"/>
      <c r="CN101" s="16"/>
      <c r="CO101" s="16"/>
      <c r="CP101" s="16"/>
      <c r="CQ101" s="16"/>
      <c r="CR101" s="16"/>
      <c r="CS101" s="16"/>
      <c r="CT101" s="16"/>
      <c r="CU101" s="16"/>
      <c r="CV101" s="19" t="e" vm="1">
        <f ca="1">CV$4-$D101</f>
        <v>#NAME?</v>
      </c>
      <c r="CW101" s="16"/>
      <c r="CX101" s="16"/>
      <c r="CY101" s="16"/>
      <c r="CZ101" s="16"/>
      <c r="DA101" s="16"/>
      <c r="DB101" s="16"/>
      <c r="DC101" s="16"/>
      <c r="DD101" s="16"/>
      <c r="DE101" s="16"/>
      <c r="DF101" s="16"/>
      <c r="DG101" s="16"/>
      <c r="DH101" s="16"/>
      <c r="DI101" s="16"/>
      <c r="DJ101" s="16"/>
      <c r="DK101" s="16"/>
      <c r="DL101" s="16"/>
      <c r="DM101" s="16"/>
      <c r="DN101" s="81"/>
      <c r="DO101" s="16"/>
      <c r="DP101" s="16"/>
      <c r="DQ101" s="16"/>
      <c r="DR101" s="16"/>
      <c r="DS101" s="16"/>
      <c r="DT101" s="16"/>
      <c r="DU101" s="16"/>
      <c r="DV101" s="16"/>
    </row>
    <row r="102" spans="3:126" x14ac:dyDescent="0.45">
      <c r="C102" t="s">
        <v>1424</v>
      </c>
      <c r="D102" s="16" t="e" vm="2">
        <f ca="1">_xlfn.XLOOKUP(C102,'Consol (TB)'!C:C,'Consol (TB)'!L:L,VALUE("0"),0,1)</f>
        <v>#NAME?</v>
      </c>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81"/>
      <c r="CG102" s="16"/>
      <c r="CH102" s="16"/>
      <c r="CI102" s="16"/>
      <c r="CJ102" s="16"/>
      <c r="CK102" s="16"/>
      <c r="CL102" s="16"/>
      <c r="CM102" s="16"/>
      <c r="CN102" s="16"/>
      <c r="CO102" s="16"/>
      <c r="CP102" s="16"/>
      <c r="CQ102" s="16"/>
      <c r="CR102" s="16"/>
      <c r="CS102" s="16"/>
      <c r="CT102" s="16"/>
      <c r="CU102" s="16"/>
      <c r="CV102" s="16"/>
      <c r="CW102" s="19" t="e" vm="1">
        <f ca="1">CW$4-$D102</f>
        <v>#NAME?</v>
      </c>
      <c r="CX102" s="16"/>
      <c r="CY102" s="16"/>
      <c r="CZ102" s="16"/>
      <c r="DA102" s="16"/>
      <c r="DB102" s="16"/>
      <c r="DC102" s="16"/>
      <c r="DD102" s="16"/>
      <c r="DE102" s="16"/>
      <c r="DF102" s="16"/>
      <c r="DG102" s="16"/>
      <c r="DH102" s="16"/>
      <c r="DI102" s="16"/>
      <c r="DJ102" s="16"/>
      <c r="DK102" s="16"/>
      <c r="DL102" s="16"/>
      <c r="DM102" s="16"/>
      <c r="DN102" s="81"/>
      <c r="DO102" s="16"/>
      <c r="DP102" s="16"/>
      <c r="DQ102" s="16"/>
      <c r="DR102" s="16"/>
      <c r="DS102" s="16"/>
      <c r="DT102" s="16"/>
      <c r="DU102" s="16"/>
      <c r="DV102" s="16"/>
    </row>
    <row r="103" spans="3:126" x14ac:dyDescent="0.45">
      <c r="C103" t="s">
        <v>1148</v>
      </c>
      <c r="D103" s="16" t="e" vm="2">
        <f ca="1">_xlfn.XLOOKUP(C103,'Consol (TB)'!C:C,'Consol (TB)'!L:L,VALUE("0"),0,1)</f>
        <v>#NAME?</v>
      </c>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81"/>
      <c r="CG103" s="16"/>
      <c r="CH103" s="16"/>
      <c r="CI103" s="16"/>
      <c r="CJ103" s="16"/>
      <c r="CK103" s="16"/>
      <c r="CL103" s="16"/>
      <c r="CM103" s="16"/>
      <c r="CN103" s="16"/>
      <c r="CO103" s="16"/>
      <c r="CP103" s="16"/>
      <c r="CQ103" s="16"/>
      <c r="CR103" s="16"/>
      <c r="CS103" s="16"/>
      <c r="CT103" s="16"/>
      <c r="CU103" s="16"/>
      <c r="CV103" s="16"/>
      <c r="CW103" s="16"/>
      <c r="CX103" s="19" t="e" vm="1">
        <f ca="1">CX$4-$D103</f>
        <v>#NAME?</v>
      </c>
      <c r="CY103" s="16"/>
      <c r="CZ103" s="16"/>
      <c r="DA103" s="16"/>
      <c r="DB103" s="16"/>
      <c r="DC103" s="16"/>
      <c r="DD103" s="16"/>
      <c r="DE103" s="16"/>
      <c r="DF103" s="16"/>
      <c r="DG103" s="16"/>
      <c r="DH103" s="16"/>
      <c r="DI103" s="16"/>
      <c r="DJ103" s="16"/>
      <c r="DK103" s="16"/>
      <c r="DL103" s="16"/>
      <c r="DM103" s="16"/>
      <c r="DN103" s="81"/>
      <c r="DO103" s="16"/>
      <c r="DP103" s="16"/>
      <c r="DQ103" s="16"/>
      <c r="DR103" s="16"/>
      <c r="DS103" s="16"/>
      <c r="DT103" s="16"/>
      <c r="DU103" s="16"/>
      <c r="DV103" s="16"/>
    </row>
    <row r="104" spans="3:126" x14ac:dyDescent="0.45">
      <c r="C104" t="s">
        <v>1428</v>
      </c>
      <c r="D104" s="16" t="e" vm="2">
        <f ca="1">_xlfn.XLOOKUP(C104,'Consol (TB)'!C:C,'Consol (TB)'!L:L,VALUE("0"),0,1)</f>
        <v>#NAME?</v>
      </c>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81"/>
      <c r="CG104" s="16"/>
      <c r="CH104" s="16"/>
      <c r="CI104" s="16"/>
      <c r="CJ104" s="16"/>
      <c r="CK104" s="16"/>
      <c r="CL104" s="16"/>
      <c r="CM104" s="16"/>
      <c r="CN104" s="16"/>
      <c r="CO104" s="16"/>
      <c r="CP104" s="16"/>
      <c r="CQ104" s="16"/>
      <c r="CR104" s="16"/>
      <c r="CS104" s="16"/>
      <c r="CT104" s="16"/>
      <c r="CU104" s="16"/>
      <c r="CV104" s="16"/>
      <c r="CW104" s="16"/>
      <c r="CX104" s="16"/>
      <c r="CY104" s="19" t="e" vm="1">
        <f ca="1">CY$4-$D104</f>
        <v>#NAME?</v>
      </c>
      <c r="CZ104" s="16"/>
      <c r="DA104" s="16"/>
      <c r="DB104" s="16"/>
      <c r="DC104" s="16"/>
      <c r="DD104" s="16"/>
      <c r="DE104" s="16"/>
      <c r="DF104" s="16"/>
      <c r="DG104" s="16"/>
      <c r="DH104" s="16"/>
      <c r="DI104" s="16"/>
      <c r="DJ104" s="16"/>
      <c r="DK104" s="16"/>
      <c r="DL104" s="16"/>
      <c r="DM104" s="16"/>
      <c r="DN104" s="81"/>
      <c r="DO104" s="16"/>
      <c r="DP104" s="16"/>
      <c r="DQ104" s="16"/>
      <c r="DR104" s="16"/>
      <c r="DS104" s="16"/>
      <c r="DT104" s="16"/>
      <c r="DU104" s="16"/>
      <c r="DV104" s="16"/>
    </row>
    <row r="105" spans="3:126" x14ac:dyDescent="0.45">
      <c r="C105" t="s">
        <v>1429</v>
      </c>
      <c r="D105" s="16" t="e" vm="2">
        <f ca="1">_xlfn.XLOOKUP(C105,'Consol (TB)'!C:C,'Consol (TB)'!L:L,VALUE("0"),0,1)</f>
        <v>#NAME?</v>
      </c>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81"/>
      <c r="CG105" s="16"/>
      <c r="CH105" s="16"/>
      <c r="CI105" s="16"/>
      <c r="CJ105" s="16"/>
      <c r="CK105" s="16"/>
      <c r="CL105" s="16"/>
      <c r="CM105" s="16"/>
      <c r="CN105" s="16"/>
      <c r="CO105" s="16"/>
      <c r="CP105" s="16"/>
      <c r="CQ105" s="16"/>
      <c r="CR105" s="16"/>
      <c r="CS105" s="16"/>
      <c r="CT105" s="16"/>
      <c r="CU105" s="16"/>
      <c r="CV105" s="16"/>
      <c r="CW105" s="16"/>
      <c r="CX105" s="16"/>
      <c r="CY105" s="16"/>
      <c r="CZ105" s="19" t="e" vm="1">
        <f ca="1">CZ$4-$D105</f>
        <v>#NAME?</v>
      </c>
      <c r="DA105" s="16"/>
      <c r="DB105" s="16"/>
      <c r="DC105" s="16"/>
      <c r="DD105" s="16"/>
      <c r="DE105" s="16"/>
      <c r="DF105" s="16"/>
      <c r="DG105" s="16"/>
      <c r="DH105" s="16"/>
      <c r="DI105" s="16"/>
      <c r="DJ105" s="16"/>
      <c r="DK105" s="16"/>
      <c r="DL105" s="16"/>
      <c r="DM105" s="16"/>
      <c r="DN105" s="81"/>
      <c r="DO105" s="16"/>
      <c r="DP105" s="16"/>
      <c r="DQ105" s="16"/>
      <c r="DR105" s="16"/>
      <c r="DS105" s="16"/>
      <c r="DT105" s="16"/>
      <c r="DU105" s="16"/>
      <c r="DV105" s="16"/>
    </row>
    <row r="106" spans="3:126" x14ac:dyDescent="0.45">
      <c r="C106" t="s">
        <v>1149</v>
      </c>
      <c r="D106" s="16" t="e" vm="2">
        <f ca="1">_xlfn.XLOOKUP(C106,'Consol (TB)'!C:C,'Consol (TB)'!L:L,VALUE("0"),0,1)</f>
        <v>#NAME?</v>
      </c>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81"/>
      <c r="CG106" s="16"/>
      <c r="CH106" s="16"/>
      <c r="CI106" s="16"/>
      <c r="CJ106" s="16"/>
      <c r="CK106" s="16"/>
      <c r="CL106" s="16"/>
      <c r="CM106" s="16"/>
      <c r="CN106" s="16"/>
      <c r="CO106" s="16"/>
      <c r="CP106" s="16"/>
      <c r="CQ106" s="16"/>
      <c r="CR106" s="16"/>
      <c r="CS106" s="16"/>
      <c r="CT106" s="16"/>
      <c r="CU106" s="16"/>
      <c r="CV106" s="16"/>
      <c r="CW106" s="16"/>
      <c r="CX106" s="16"/>
      <c r="CY106" s="16"/>
      <c r="CZ106" s="16"/>
      <c r="DA106" s="19" t="e" vm="1">
        <f ca="1">DA$4-$D106</f>
        <v>#NAME?</v>
      </c>
      <c r="DB106" s="16"/>
      <c r="DC106" s="16"/>
      <c r="DD106" s="16"/>
      <c r="DE106" s="16"/>
      <c r="DF106" s="16"/>
      <c r="DG106" s="16"/>
      <c r="DH106" s="16"/>
      <c r="DI106" s="16"/>
      <c r="DJ106" s="16"/>
      <c r="DK106" s="16"/>
      <c r="DL106" s="16"/>
      <c r="DM106" s="16"/>
      <c r="DN106" s="81"/>
      <c r="DO106" s="16"/>
      <c r="DP106" s="16"/>
      <c r="DQ106" s="16"/>
      <c r="DR106" s="16"/>
      <c r="DS106" s="16"/>
      <c r="DT106" s="16"/>
      <c r="DU106" s="16"/>
      <c r="DV106" s="16"/>
    </row>
    <row r="107" spans="3:126" x14ac:dyDescent="0.45">
      <c r="C107" t="s">
        <v>1150</v>
      </c>
      <c r="D107" s="16" t="e" vm="2">
        <f ca="1">_xlfn.XLOOKUP(C107,'Consol (TB)'!C:C,'Consol (TB)'!L:L,VALUE("0"),0,1)</f>
        <v>#NAME?</v>
      </c>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81"/>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9" t="e" vm="1">
        <f ca="1">DB$4-$D107</f>
        <v>#NAME?</v>
      </c>
      <c r="DC107" s="16"/>
      <c r="DD107" s="16"/>
      <c r="DE107" s="16"/>
      <c r="DF107" s="16"/>
      <c r="DG107" s="16"/>
      <c r="DH107" s="16"/>
      <c r="DI107" s="16"/>
      <c r="DJ107" s="16"/>
      <c r="DK107" s="16"/>
      <c r="DL107" s="16"/>
      <c r="DM107" s="16"/>
      <c r="DN107" s="81"/>
      <c r="DO107" s="16"/>
      <c r="DP107" s="16"/>
      <c r="DQ107" s="16"/>
      <c r="DR107" s="16"/>
      <c r="DS107" s="16"/>
      <c r="DT107" s="16"/>
      <c r="DU107" s="16"/>
      <c r="DV107" s="16"/>
    </row>
    <row r="108" spans="3:126" x14ac:dyDescent="0.45">
      <c r="C108" t="s">
        <v>1151</v>
      </c>
      <c r="D108" s="16" t="e" vm="2">
        <f ca="1">_xlfn.XLOOKUP(C108,'Consol (TB)'!C:C,'Consol (TB)'!L:L,VALUE("0"),0,1)</f>
        <v>#NAME?</v>
      </c>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81"/>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9" t="e" vm="1">
        <f ca="1">DC$4-$D108</f>
        <v>#NAME?</v>
      </c>
      <c r="DD108" s="16"/>
      <c r="DE108" s="16"/>
      <c r="DF108" s="16"/>
      <c r="DG108" s="16"/>
      <c r="DH108" s="16"/>
      <c r="DI108" s="16"/>
      <c r="DJ108" s="16"/>
      <c r="DK108" s="16"/>
      <c r="DL108" s="16"/>
      <c r="DM108" s="16"/>
      <c r="DN108" s="81"/>
      <c r="DO108" s="16"/>
      <c r="DP108" s="16"/>
      <c r="DQ108" s="16"/>
      <c r="DR108" s="16"/>
      <c r="DS108" s="16"/>
      <c r="DT108" s="16"/>
      <c r="DU108" s="16"/>
      <c r="DV108" s="16"/>
    </row>
    <row r="109" spans="3:126" x14ac:dyDescent="0.45">
      <c r="C109" t="s">
        <v>1152</v>
      </c>
      <c r="D109" s="16" t="e" vm="2">
        <f ca="1">_xlfn.XLOOKUP(C109,'Consol (TB)'!C:C,'Consol (TB)'!L:L,VALUE("0"),0,1)</f>
        <v>#NAME?</v>
      </c>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81"/>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9" t="e" vm="1">
        <f ca="1">DD$4-$D109</f>
        <v>#NAME?</v>
      </c>
      <c r="DE109" s="16"/>
      <c r="DF109" s="16"/>
      <c r="DG109" s="16"/>
      <c r="DH109" s="16"/>
      <c r="DI109" s="16"/>
      <c r="DJ109" s="16"/>
      <c r="DK109" s="16"/>
      <c r="DL109" s="16"/>
      <c r="DM109" s="16"/>
      <c r="DN109" s="81"/>
      <c r="DO109" s="16"/>
      <c r="DP109" s="16"/>
      <c r="DQ109" s="16"/>
      <c r="DR109" s="16"/>
      <c r="DS109" s="16"/>
      <c r="DT109" s="16"/>
      <c r="DU109" s="16"/>
      <c r="DV109" s="16"/>
    </row>
    <row r="110" spans="3:126" x14ac:dyDescent="0.45">
      <c r="C110" t="s">
        <v>1153</v>
      </c>
      <c r="D110" s="16" t="e" vm="2">
        <f ca="1">_xlfn.XLOOKUP(C110,'Consol (TB)'!C:C,'Consol (TB)'!L:L,VALUE("0"),0,1)</f>
        <v>#NAME?</v>
      </c>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81"/>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9" t="e" vm="1">
        <f ca="1">DE$4-$D110</f>
        <v>#NAME?</v>
      </c>
      <c r="DF110" s="16"/>
      <c r="DG110" s="16"/>
      <c r="DH110" s="16"/>
      <c r="DI110" s="16"/>
      <c r="DJ110" s="16"/>
      <c r="DK110" s="16"/>
      <c r="DL110" s="16"/>
      <c r="DM110" s="16"/>
      <c r="DN110" s="81"/>
      <c r="DO110" s="16"/>
      <c r="DP110" s="16"/>
      <c r="DQ110" s="16"/>
      <c r="DR110" s="16"/>
      <c r="DS110" s="16"/>
      <c r="DT110" s="16"/>
      <c r="DU110" s="16"/>
      <c r="DV110" s="16"/>
    </row>
    <row r="111" spans="3:126" x14ac:dyDescent="0.45">
      <c r="C111" t="s">
        <v>1154</v>
      </c>
      <c r="D111" s="16" t="e" vm="2">
        <f ca="1">_xlfn.XLOOKUP(C111,'Consol (TB)'!C:C,'Consol (TB)'!L:L,VALUE("0"),0,1)</f>
        <v>#NAME?</v>
      </c>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81"/>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c r="DF111" s="19" t="e" vm="1">
        <f ca="1">DF$4-$D111</f>
        <v>#NAME?</v>
      </c>
      <c r="DG111" s="16"/>
      <c r="DH111" s="16"/>
      <c r="DI111" s="16"/>
      <c r="DJ111" s="16"/>
      <c r="DK111" s="16"/>
      <c r="DL111" s="16"/>
      <c r="DM111" s="16"/>
      <c r="DN111" s="81"/>
      <c r="DO111" s="16"/>
      <c r="DP111" s="16"/>
      <c r="DQ111" s="16"/>
      <c r="DR111" s="16"/>
      <c r="DS111" s="16"/>
      <c r="DT111" s="16"/>
      <c r="DU111" s="16"/>
      <c r="DV111" s="16"/>
    </row>
    <row r="112" spans="3:126" x14ac:dyDescent="0.45">
      <c r="C112" t="s">
        <v>1155</v>
      </c>
      <c r="D112" s="16" t="e" vm="2">
        <f ca="1">_xlfn.XLOOKUP(C112,'Consol (TB)'!C:C,'Consol (TB)'!L:L,VALUE("0"),0,1)</f>
        <v>#NAME?</v>
      </c>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81"/>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c r="DF112" s="16"/>
      <c r="DG112" s="19" t="e" vm="1">
        <f ca="1">DG$4-$D112</f>
        <v>#NAME?</v>
      </c>
      <c r="DH112" s="16"/>
      <c r="DI112" s="16"/>
      <c r="DJ112" s="16"/>
      <c r="DK112" s="16"/>
      <c r="DL112" s="16"/>
      <c r="DM112" s="16"/>
      <c r="DN112" s="81"/>
      <c r="DO112" s="16"/>
      <c r="DP112" s="16"/>
      <c r="DQ112" s="16"/>
      <c r="DR112" s="16"/>
      <c r="DS112" s="16"/>
      <c r="DT112" s="16"/>
      <c r="DU112" s="16"/>
      <c r="DV112" s="16"/>
    </row>
    <row r="113" spans="3:127" x14ac:dyDescent="0.45">
      <c r="C113" t="s">
        <v>1426</v>
      </c>
      <c r="D113" s="16" t="e" vm="2">
        <f ca="1">_xlfn.XLOOKUP(C113,'Consol (TB)'!C:C,'Consol (TB)'!L:L,VALUE("0"),0,1)</f>
        <v>#NAME?</v>
      </c>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81"/>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c r="DF113" s="16"/>
      <c r="DG113" s="16"/>
      <c r="DH113" s="19" t="e" vm="1">
        <f ca="1">DH$4-$D113</f>
        <v>#NAME?</v>
      </c>
      <c r="DI113" s="16"/>
      <c r="DJ113" s="16"/>
      <c r="DK113" s="16"/>
      <c r="DL113" s="16"/>
      <c r="DM113" s="16"/>
      <c r="DN113" s="81"/>
      <c r="DO113" s="16"/>
      <c r="DP113" s="16"/>
      <c r="DQ113" s="16"/>
      <c r="DR113" s="16"/>
      <c r="DS113" s="16"/>
      <c r="DT113" s="16"/>
      <c r="DU113" s="16"/>
      <c r="DV113" s="16"/>
    </row>
    <row r="114" spans="3:127" x14ac:dyDescent="0.45">
      <c r="C114" t="s">
        <v>1425</v>
      </c>
      <c r="D114" s="16" t="e" vm="2">
        <f ca="1">_xlfn.XLOOKUP(C114,'Consol (TB)'!C:C,'Consol (TB)'!L:L,VALUE("0"),0,1)</f>
        <v>#NAME?</v>
      </c>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81"/>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c r="DF114" s="16"/>
      <c r="DG114" s="16"/>
      <c r="DH114" s="16"/>
      <c r="DI114" s="19" t="e" vm="1">
        <f ca="1">DI$4-$D114</f>
        <v>#NAME?</v>
      </c>
      <c r="DJ114" s="16"/>
      <c r="DK114" s="16"/>
      <c r="DL114" s="16"/>
      <c r="DM114" s="16"/>
      <c r="DN114" s="81"/>
      <c r="DO114" s="16"/>
      <c r="DP114" s="16"/>
      <c r="DQ114" s="16"/>
      <c r="DR114" s="16"/>
      <c r="DS114" s="16"/>
      <c r="DT114" s="16"/>
      <c r="DU114" s="16"/>
      <c r="DV114" s="16"/>
    </row>
    <row r="115" spans="3:127" x14ac:dyDescent="0.45">
      <c r="C115" t="s">
        <v>1395</v>
      </c>
      <c r="D115" s="16" t="e" vm="2">
        <f ca="1">_xlfn.XLOOKUP(C115,'Consol (TB)'!C:C,'Consol (TB)'!L:L,VALUE("0"),0,1)</f>
        <v>#NAME?</v>
      </c>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81"/>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c r="DF115" s="16"/>
      <c r="DG115" s="16"/>
      <c r="DH115" s="16"/>
      <c r="DI115" s="16"/>
      <c r="DJ115" s="19" t="e" vm="1">
        <f ca="1">DJ$4-$D115</f>
        <v>#NAME?</v>
      </c>
      <c r="DK115" s="16"/>
      <c r="DL115" s="16"/>
      <c r="DM115" s="16"/>
      <c r="DN115" s="81"/>
      <c r="DO115" s="16"/>
      <c r="DP115" s="16"/>
      <c r="DQ115" s="16"/>
      <c r="DR115" s="16"/>
      <c r="DS115" s="16"/>
      <c r="DT115" s="16"/>
      <c r="DU115" s="16"/>
      <c r="DV115" s="16"/>
    </row>
    <row r="116" spans="3:127" x14ac:dyDescent="0.45">
      <c r="C116" t="s">
        <v>1396</v>
      </c>
      <c r="D116" s="16" t="e" vm="2">
        <f ca="1">_xlfn.XLOOKUP(C116,'Consol (TB)'!C:C,'Consol (TB)'!L:L,VALUE("0"),0,1)</f>
        <v>#NAME?</v>
      </c>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81"/>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9" t="e" vm="1">
        <f ca="1">DK$4-$D116</f>
        <v>#NAME?</v>
      </c>
      <c r="DL116" s="16"/>
      <c r="DM116" s="16"/>
      <c r="DN116" s="81"/>
      <c r="DO116" s="16"/>
      <c r="DP116" s="16"/>
      <c r="DQ116" s="16"/>
      <c r="DR116" s="16"/>
      <c r="DS116" s="16"/>
      <c r="DT116" s="16"/>
      <c r="DU116" s="16"/>
      <c r="DV116" s="16"/>
    </row>
    <row r="117" spans="3:127" x14ac:dyDescent="0.45">
      <c r="C117" t="s">
        <v>1156</v>
      </c>
      <c r="D117" s="16" t="e" vm="2">
        <f ca="1">_xlfn.XLOOKUP(C117,'Consol (TB)'!C:C,'Consol (TB)'!L:L,VALUE("0"),0,1)</f>
        <v>#NAME?</v>
      </c>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81"/>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c r="DL117" s="19" t="e" vm="1">
        <f ca="1">DL$4-$D117</f>
        <v>#NAME?</v>
      </c>
      <c r="DM117" s="16"/>
      <c r="DN117" s="81"/>
      <c r="DO117" s="16"/>
      <c r="DP117" s="16"/>
      <c r="DQ117" s="16"/>
      <c r="DR117" s="16"/>
      <c r="DS117" s="16"/>
      <c r="DT117" s="16"/>
      <c r="DU117" s="16"/>
      <c r="DV117" s="16"/>
    </row>
    <row r="118" spans="3:127" x14ac:dyDescent="0.45">
      <c r="C118" t="s">
        <v>1157</v>
      </c>
      <c r="D118" s="16" t="e" vm="2">
        <f ca="1">_xlfn.XLOOKUP(C118,'Consol (TB)'!C:C,'Consol (TB)'!L:L,VALUE("0"),0,1)</f>
        <v>#NAME?</v>
      </c>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81"/>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c r="DL118" s="16"/>
      <c r="DM118" s="19" t="e" vm="1">
        <f ca="1">DM$4-$D118</f>
        <v>#NAME?</v>
      </c>
      <c r="DN118" s="81"/>
      <c r="DO118" s="16"/>
      <c r="DP118" s="16"/>
      <c r="DQ118" s="16"/>
      <c r="DR118" s="16"/>
      <c r="DS118" s="16"/>
      <c r="DT118" s="16"/>
      <c r="DU118" s="16"/>
      <c r="DV118" s="16"/>
    </row>
    <row r="119" spans="3:127" x14ac:dyDescent="0.45">
      <c r="C119" t="s">
        <v>1532</v>
      </c>
      <c r="D119" s="16" t="e" vm="2">
        <f ca="1">_xlfn.XLOOKUP(C119,'Consol (TB)'!C:C,'Consol (TB)'!L:L,VALUE("0"),0,1)</f>
        <v>#NAME?</v>
      </c>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81"/>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81" t="e" vm="1">
        <f ca="1">DN$4-$D119</f>
        <v>#NAME?</v>
      </c>
      <c r="DO119" s="16"/>
      <c r="DP119" s="16"/>
      <c r="DQ119" s="16"/>
      <c r="DR119" s="16"/>
      <c r="DS119" s="16"/>
      <c r="DT119" s="16"/>
      <c r="DU119" s="16"/>
      <c r="DV119" s="16"/>
    </row>
    <row r="120" spans="3:127" x14ac:dyDescent="0.45">
      <c r="C120" t="s">
        <v>1158</v>
      </c>
      <c r="D120" s="16" t="e" vm="2">
        <f ca="1">_xlfn.XLOOKUP(C120,'Consol (TB)'!C:C,'Consol (TB)'!L:L,VALUE("0"),0,1)</f>
        <v>#NAME?</v>
      </c>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81"/>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81"/>
      <c r="DO120" s="19" t="e" vm="1">
        <f ca="1">DO$4-$D120</f>
        <v>#NAME?</v>
      </c>
      <c r="DP120" s="16"/>
      <c r="DQ120" s="16"/>
      <c r="DR120" s="16"/>
      <c r="DS120" s="16"/>
      <c r="DT120" s="16"/>
      <c r="DU120" s="16"/>
      <c r="DV120" s="16"/>
    </row>
    <row r="121" spans="3:127" x14ac:dyDescent="0.45">
      <c r="C121" t="s">
        <v>1558</v>
      </c>
      <c r="D121" s="16" t="e" vm="2">
        <f ca="1">_xlfn.XLOOKUP(C121,'Consol (TB)'!C:C,'Consol (TB)'!L:L,VALUE("0"),0,1)</f>
        <v>#NAME?</v>
      </c>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81"/>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c r="DL121" s="16"/>
      <c r="DM121" s="16"/>
      <c r="DN121" s="81"/>
      <c r="DO121" s="16"/>
      <c r="DP121" s="19" t="e" vm="1">
        <f ca="1">DP$4-$D121</f>
        <v>#NAME?</v>
      </c>
      <c r="DQ121" s="16">
        <v>60786.92</v>
      </c>
      <c r="DR121" s="16"/>
      <c r="DS121" s="16"/>
      <c r="DT121" s="16"/>
      <c r="DU121" s="16"/>
      <c r="DV121" s="16"/>
    </row>
    <row r="122" spans="3:127" x14ac:dyDescent="0.45">
      <c r="C122" t="s">
        <v>1159</v>
      </c>
      <c r="D122" s="16" t="e" vm="2">
        <f ca="1">_xlfn.XLOOKUP(C122,'Consol (TB)'!C:C,'Consol (TB)'!L:L,VALUE("0"),0,1)</f>
        <v>#NAME?</v>
      </c>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81"/>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c r="DL122" s="16"/>
      <c r="DM122" s="16"/>
      <c r="DN122" s="81"/>
      <c r="DO122" s="16"/>
      <c r="DP122" s="16"/>
      <c r="DQ122" s="19" t="e" vm="1">
        <f ca="1">DQ$4-$D122</f>
        <v>#NAME?</v>
      </c>
      <c r="DR122" s="16"/>
      <c r="DS122" s="16"/>
      <c r="DT122" s="16"/>
      <c r="DU122" s="16">
        <v>-60786.92</v>
      </c>
      <c r="DV122" s="16"/>
    </row>
    <row r="123" spans="3:127" x14ac:dyDescent="0.45">
      <c r="C123" t="s">
        <v>1384</v>
      </c>
      <c r="D123" s="16" t="e" vm="2">
        <f ca="1">_xlfn.XLOOKUP(C123,'Consol (TB)'!C:C,'Consol (TB)'!L:L,VALUE("0"),0,1)</f>
        <v>#NAME?</v>
      </c>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81"/>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81"/>
      <c r="DO123" s="16"/>
      <c r="DP123" s="16"/>
      <c r="DQ123" s="16"/>
      <c r="DR123" s="19" t="e" vm="1">
        <f ca="1">DR$4-$D123</f>
        <v>#NAME?</v>
      </c>
      <c r="DS123" s="19"/>
      <c r="DT123" s="16"/>
      <c r="DU123" s="16"/>
      <c r="DV123" s="16"/>
    </row>
    <row r="124" spans="3:127" x14ac:dyDescent="0.45">
      <c r="C124" t="s">
        <v>1385</v>
      </c>
      <c r="D124" s="16" t="e" vm="2">
        <f ca="1">_xlfn.XLOOKUP(C124,'Consol (TB)'!C:C,'Consol (TB)'!L:L,VALUE("0"),0,1)</f>
        <v>#NAME?</v>
      </c>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81"/>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c r="DF124" s="16"/>
      <c r="DG124" s="16"/>
      <c r="DH124" s="16"/>
      <c r="DI124" s="16"/>
      <c r="DJ124" s="16"/>
      <c r="DK124" s="16"/>
      <c r="DL124" s="16"/>
      <c r="DM124" s="16"/>
      <c r="DN124" s="81"/>
      <c r="DO124" s="16"/>
      <c r="DP124" s="16"/>
      <c r="DQ124" s="16"/>
      <c r="DR124" s="16"/>
      <c r="DS124" s="19" t="e" vm="1">
        <f ca="1">DS$4-$D124</f>
        <v>#NAME?</v>
      </c>
      <c r="DT124" s="16"/>
      <c r="DU124" s="16"/>
      <c r="DV124" s="16"/>
    </row>
    <row r="125" spans="3:127" x14ac:dyDescent="0.45">
      <c r="C125" t="s">
        <v>1333</v>
      </c>
      <c r="D125" s="16" t="e" vm="2">
        <f ca="1">_xlfn.XLOOKUP(C125,'Consol (TB)'!C:C,'Consol (TB)'!L:L,VALUE("0"),0,1)</f>
        <v>#NAME?</v>
      </c>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81"/>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c r="DF125" s="16"/>
      <c r="DG125" s="16"/>
      <c r="DH125" s="16"/>
      <c r="DI125" s="16"/>
      <c r="DJ125" s="16"/>
      <c r="DK125" s="16"/>
      <c r="DL125" s="16"/>
      <c r="DM125" s="16"/>
      <c r="DN125" s="81"/>
      <c r="DO125" s="16"/>
      <c r="DP125" s="16"/>
      <c r="DQ125" s="16"/>
      <c r="DR125" s="16"/>
      <c r="DS125" s="16"/>
      <c r="DT125" s="19" t="e" vm="1">
        <f ca="1">DT$4-$D125</f>
        <v>#NAME?</v>
      </c>
      <c r="DU125" s="16"/>
      <c r="DV125" s="16"/>
    </row>
    <row r="126" spans="3:127" x14ac:dyDescent="0.45">
      <c r="C126" t="s">
        <v>1537</v>
      </c>
      <c r="D126" s="16" t="e" vm="2">
        <f ca="1">_xlfn.XLOOKUP(C126,'Consol (TB)'!C:C,'Consol (TB)'!L:L,VALUE("0"),0,1)-(-ROUND(SUMIFS('Consol (TB)'!L:L,'Consol (TB)'!A:A,"Revenue"),0)-ROUND(SUMIFS('Consol (TB)'!L:L,'Consol (TB)'!A:A,"Cost of sales"),0)-ROUND(SUMIFS('Consol (TB)'!L:L,'Consol (TB)'!A:A,"Other income"),0)-ROUND(SUMIFS('Consol (TB)'!L:L,'Consol (TB)'!A:A,"Salaries and payroll expenses"),0)-ROUND(SUMIFS('Consol (TB)'!L:L,'Consol (TB)'!A:A,"Selling and marketing expenses"),0)-ROUND(SUMIFS('Consol (TB)'!L:L,'Consol (TB)'!A:A,"Distribution and logistic cost"),0)-ROUND(SUMIFS('Consol (TB)'!L:L,'Consol (TB)'!A:A,"General and administrative cost"),0)-ROUND(SUMIFS('Consol (TB)'!L:L,'Consol (TB)'!A:A,"Depreciation and amortisation"),0)-ROUND(SUMIFS('Consol (TB)'!L:L,'Consol (TB)'!A:A,"Interest expense"),0)-ROUND(SUMIFS('Consol (TB)'!L:L,'Consol (TB)'!A:A,"Witholding tax"),0)-ROUND(SUMIFS('Consol (TB)'!L:L,'Consol (TB)'!A:A,"Income Tax"),0))</f>
        <v>#NAME?</v>
      </c>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81"/>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c r="DF126" s="16"/>
      <c r="DG126" s="16"/>
      <c r="DH126" s="16"/>
      <c r="DI126" s="16"/>
      <c r="DJ126" s="16"/>
      <c r="DK126" s="16"/>
      <c r="DL126" s="16"/>
      <c r="DM126" s="16"/>
      <c r="DN126" s="81"/>
      <c r="DO126" s="16"/>
      <c r="DP126" s="16"/>
      <c r="DQ126" s="16"/>
      <c r="DR126" s="16"/>
      <c r="DS126" s="16"/>
      <c r="DT126" s="16"/>
      <c r="DU126" s="19" t="e" vm="1">
        <f ca="1">DU$4-$D126</f>
        <v>#NAME?</v>
      </c>
      <c r="DV126" s="19"/>
    </row>
    <row r="128" spans="3:127" ht="14.65" thickBot="1" x14ac:dyDescent="0.5">
      <c r="D128" s="143" t="e" vm="1">
        <f ca="1">SUM(D6:D127)</f>
        <v>#NAME?</v>
      </c>
      <c r="E128" s="144" t="e" vm="1">
        <f ca="1">SUM(E6:E126)</f>
        <v>#NAME?</v>
      </c>
      <c r="F128" s="144" t="e" vm="1">
        <f t="shared" ref="F128:BQ128" ca="1" si="0">SUM(F6:F126)</f>
        <v>#NAME?</v>
      </c>
      <c r="G128" s="144" t="e" vm="1">
        <f t="shared" ca="1" si="0"/>
        <v>#NAME?</v>
      </c>
      <c r="H128" s="144" t="e" vm="1">
        <f t="shared" ca="1" si="0"/>
        <v>#NAME?</v>
      </c>
      <c r="I128" s="144" t="e" vm="1">
        <f t="shared" ca="1" si="0"/>
        <v>#NAME?</v>
      </c>
      <c r="J128" s="144" t="e" vm="1">
        <f t="shared" ca="1" si="0"/>
        <v>#NAME?</v>
      </c>
      <c r="K128" s="144" t="e" vm="1">
        <f t="shared" ca="1" si="0"/>
        <v>#NAME?</v>
      </c>
      <c r="L128" s="144" t="e" vm="1">
        <f t="shared" ca="1" si="0"/>
        <v>#NAME?</v>
      </c>
      <c r="M128" s="144" t="e" vm="1">
        <f t="shared" ca="1" si="0"/>
        <v>#NAME?</v>
      </c>
      <c r="N128" s="144" t="e" vm="1">
        <f t="shared" ca="1" si="0"/>
        <v>#NAME?</v>
      </c>
      <c r="O128" s="144" t="e" vm="1">
        <f t="shared" ca="1" si="0"/>
        <v>#NAME?</v>
      </c>
      <c r="P128" s="144" t="e" vm="1">
        <f t="shared" ca="1" si="0"/>
        <v>#NAME?</v>
      </c>
      <c r="Q128" s="144" t="e" vm="1">
        <f t="shared" ca="1" si="0"/>
        <v>#NAME?</v>
      </c>
      <c r="R128" s="144" t="e" vm="1">
        <f t="shared" ca="1" si="0"/>
        <v>#NAME?</v>
      </c>
      <c r="S128" s="144" t="e" vm="1">
        <f t="shared" ca="1" si="0"/>
        <v>#NAME?</v>
      </c>
      <c r="T128" s="144" t="e" vm="1">
        <f t="shared" ca="1" si="0"/>
        <v>#NAME?</v>
      </c>
      <c r="U128" s="144" t="e" vm="1">
        <f t="shared" ca="1" si="0"/>
        <v>#NAME?</v>
      </c>
      <c r="V128" s="144" t="e" vm="1">
        <f t="shared" ca="1" si="0"/>
        <v>#NAME?</v>
      </c>
      <c r="W128" s="145" t="e" vm="1">
        <f t="shared" ca="1" si="0"/>
        <v>#NAME?</v>
      </c>
      <c r="X128" s="145" t="e" vm="1">
        <f t="shared" ca="1" si="0"/>
        <v>#NAME?</v>
      </c>
      <c r="Y128" s="145" t="e" vm="1">
        <f t="shared" ca="1" si="0"/>
        <v>#NAME?</v>
      </c>
      <c r="Z128" s="145" t="e" vm="1">
        <f t="shared" ca="1" si="0"/>
        <v>#NAME?</v>
      </c>
      <c r="AA128" s="145" t="e" vm="1">
        <f t="shared" ca="1" si="0"/>
        <v>#NAME?</v>
      </c>
      <c r="AB128" s="145" t="e" vm="1">
        <f t="shared" ca="1" si="0"/>
        <v>#NAME?</v>
      </c>
      <c r="AC128" s="145" t="e" vm="1">
        <f t="shared" ca="1" si="0"/>
        <v>#NAME?</v>
      </c>
      <c r="AD128" s="145" t="e" vm="1">
        <f t="shared" ca="1" si="0"/>
        <v>#NAME?</v>
      </c>
      <c r="AE128" s="145" t="e" vm="1">
        <f t="shared" ca="1" si="0"/>
        <v>#NAME?</v>
      </c>
      <c r="AF128" s="145" t="e" vm="1">
        <f t="shared" ca="1" si="0"/>
        <v>#NAME?</v>
      </c>
      <c r="AG128" s="145" t="e" vm="1">
        <f t="shared" ca="1" si="0"/>
        <v>#NAME?</v>
      </c>
      <c r="AH128" s="145" t="e" vm="1">
        <f t="shared" ca="1" si="0"/>
        <v>#NAME?</v>
      </c>
      <c r="AI128" s="145" t="e" vm="1">
        <f t="shared" ca="1" si="0"/>
        <v>#NAME?</v>
      </c>
      <c r="AJ128" s="145" t="e" vm="1">
        <f t="shared" ca="1" si="0"/>
        <v>#NAME?</v>
      </c>
      <c r="AK128" s="145" t="e" vm="1">
        <f t="shared" ca="1" si="0"/>
        <v>#NAME?</v>
      </c>
      <c r="AL128" s="145" t="e" vm="1">
        <f t="shared" ca="1" si="0"/>
        <v>#NAME?</v>
      </c>
      <c r="AM128" s="145" t="e" vm="1">
        <f t="shared" ca="1" si="0"/>
        <v>#NAME?</v>
      </c>
      <c r="AN128" s="145" t="e" vm="1">
        <f t="shared" ca="1" si="0"/>
        <v>#NAME?</v>
      </c>
      <c r="AO128" s="145" t="e" vm="1">
        <f t="shared" ca="1" si="0"/>
        <v>#NAME?</v>
      </c>
      <c r="AP128" s="145" t="e" vm="1">
        <f t="shared" ca="1" si="0"/>
        <v>#NAME?</v>
      </c>
      <c r="AQ128" s="145" t="e" vm="1">
        <f t="shared" ca="1" si="0"/>
        <v>#NAME?</v>
      </c>
      <c r="AR128" s="145" t="e" vm="1">
        <f t="shared" ca="1" si="0"/>
        <v>#NAME?</v>
      </c>
      <c r="AS128" s="145" t="e" vm="1">
        <f t="shared" ca="1" si="0"/>
        <v>#NAME?</v>
      </c>
      <c r="AT128" s="145" t="e" vm="1">
        <f t="shared" ca="1" si="0"/>
        <v>#NAME?</v>
      </c>
      <c r="AU128" s="145" t="e" vm="1">
        <f t="shared" ca="1" si="0"/>
        <v>#NAME?</v>
      </c>
      <c r="AV128" s="145" t="e" vm="1">
        <f t="shared" ca="1" si="0"/>
        <v>#NAME?</v>
      </c>
      <c r="AW128" s="145" t="e" vm="1">
        <f t="shared" ca="1" si="0"/>
        <v>#NAME?</v>
      </c>
      <c r="AX128" s="145" t="e" vm="1">
        <f t="shared" ca="1" si="0"/>
        <v>#NAME?</v>
      </c>
      <c r="AY128" s="145" t="e" vm="1">
        <f t="shared" ca="1" si="0"/>
        <v>#NAME?</v>
      </c>
      <c r="AZ128" s="145" t="e" vm="1">
        <f t="shared" ca="1" si="0"/>
        <v>#NAME?</v>
      </c>
      <c r="BA128" s="145" t="e" vm="1">
        <f t="shared" ca="1" si="0"/>
        <v>#NAME?</v>
      </c>
      <c r="BB128" s="145" t="e" vm="1">
        <f t="shared" ca="1" si="0"/>
        <v>#NAME?</v>
      </c>
      <c r="BC128" s="145" t="e" vm="1">
        <f t="shared" ca="1" si="0"/>
        <v>#NAME?</v>
      </c>
      <c r="BD128" s="145" t="e" vm="1">
        <f t="shared" ca="1" si="0"/>
        <v>#NAME?</v>
      </c>
      <c r="BE128" s="145" t="e" vm="1">
        <f t="shared" ca="1" si="0"/>
        <v>#NAME?</v>
      </c>
      <c r="BF128" s="145" t="e" vm="1">
        <f t="shared" ca="1" si="0"/>
        <v>#NAME?</v>
      </c>
      <c r="BG128" s="145" t="e" vm="1">
        <f t="shared" ca="1" si="0"/>
        <v>#NAME?</v>
      </c>
      <c r="BH128" s="145" t="e" vm="1">
        <f t="shared" ca="1" si="0"/>
        <v>#NAME?</v>
      </c>
      <c r="BI128" s="145" t="e" vm="1">
        <f t="shared" ca="1" si="0"/>
        <v>#NAME?</v>
      </c>
      <c r="BJ128" s="145" t="e" vm="1">
        <f t="shared" ca="1" si="0"/>
        <v>#NAME?</v>
      </c>
      <c r="BK128" s="145" t="e" vm="1">
        <f t="shared" ca="1" si="0"/>
        <v>#NAME?</v>
      </c>
      <c r="BL128" s="145" t="e" vm="1">
        <f t="shared" ca="1" si="0"/>
        <v>#NAME?</v>
      </c>
      <c r="BM128" s="145" t="e" vm="1">
        <f t="shared" ca="1" si="0"/>
        <v>#NAME?</v>
      </c>
      <c r="BN128" s="145" t="e" vm="1">
        <f t="shared" ca="1" si="0"/>
        <v>#NAME?</v>
      </c>
      <c r="BO128" s="145" t="e" vm="1">
        <f t="shared" ca="1" si="0"/>
        <v>#NAME?</v>
      </c>
      <c r="BP128" s="145" t="e" vm="1">
        <f t="shared" ca="1" si="0"/>
        <v>#NAME?</v>
      </c>
      <c r="BQ128" s="145" t="e" vm="1">
        <f t="shared" ca="1" si="0"/>
        <v>#NAME?</v>
      </c>
      <c r="BR128" s="145" t="e" vm="1">
        <f t="shared" ref="BR128:DU128" ca="1" si="1">SUM(BR6:BR126)</f>
        <v>#NAME?</v>
      </c>
      <c r="BS128" s="145" t="e" vm="1">
        <f t="shared" ca="1" si="1"/>
        <v>#NAME?</v>
      </c>
      <c r="BT128" s="145" t="e" vm="1">
        <f t="shared" ca="1" si="1"/>
        <v>#NAME?</v>
      </c>
      <c r="BU128" s="145" t="e" vm="1">
        <f t="shared" ca="1" si="1"/>
        <v>#NAME?</v>
      </c>
      <c r="BV128" s="145" t="e" vm="1">
        <f t="shared" ca="1" si="1"/>
        <v>#NAME?</v>
      </c>
      <c r="BW128" s="145" t="e" vm="1">
        <f t="shared" ca="1" si="1"/>
        <v>#NAME?</v>
      </c>
      <c r="BX128" s="145" t="e" vm="1">
        <f t="shared" ca="1" si="1"/>
        <v>#NAME?</v>
      </c>
      <c r="BY128" s="145" t="e" vm="1">
        <f t="shared" ca="1" si="1"/>
        <v>#NAME?</v>
      </c>
      <c r="BZ128" s="145" t="e" vm="1">
        <f t="shared" ca="1" si="1"/>
        <v>#NAME?</v>
      </c>
      <c r="CA128" s="145" t="e" vm="1">
        <f t="shared" ca="1" si="1"/>
        <v>#NAME?</v>
      </c>
      <c r="CB128" s="145" t="e" vm="1">
        <f t="shared" ca="1" si="1"/>
        <v>#NAME?</v>
      </c>
      <c r="CC128" s="145" t="e" vm="1">
        <f t="shared" ca="1" si="1"/>
        <v>#NAME?</v>
      </c>
      <c r="CD128" s="145" t="e" vm="1">
        <f t="shared" ca="1" si="1"/>
        <v>#NAME?</v>
      </c>
      <c r="CE128" s="145" t="e" vm="1">
        <f t="shared" ca="1" si="1"/>
        <v>#NAME?</v>
      </c>
      <c r="CF128" s="167" t="e" vm="1">
        <f t="shared" ca="1" si="1"/>
        <v>#NAME?</v>
      </c>
      <c r="CG128" s="145" t="e" vm="1">
        <f t="shared" ca="1" si="1"/>
        <v>#NAME?</v>
      </c>
      <c r="CH128" s="145" t="e" vm="1">
        <f t="shared" ca="1" si="1"/>
        <v>#NAME?</v>
      </c>
      <c r="CI128" s="145" t="e" vm="1">
        <f t="shared" ca="1" si="1"/>
        <v>#NAME?</v>
      </c>
      <c r="CJ128" s="145" t="e" vm="1">
        <f t="shared" ca="1" si="1"/>
        <v>#NAME?</v>
      </c>
      <c r="CK128" s="145" t="e" vm="1">
        <f t="shared" ca="1" si="1"/>
        <v>#NAME?</v>
      </c>
      <c r="CL128" s="145" t="e" vm="1">
        <f t="shared" ca="1" si="1"/>
        <v>#NAME?</v>
      </c>
      <c r="CM128" s="145" t="e" vm="1">
        <f t="shared" ca="1" si="1"/>
        <v>#NAME?</v>
      </c>
      <c r="CN128" s="145" t="e" vm="1">
        <f t="shared" ca="1" si="1"/>
        <v>#NAME?</v>
      </c>
      <c r="CO128" s="145" t="e" vm="1">
        <f t="shared" ca="1" si="1"/>
        <v>#NAME?</v>
      </c>
      <c r="CP128" s="145" t="e" vm="1">
        <f t="shared" ca="1" si="1"/>
        <v>#NAME?</v>
      </c>
      <c r="CQ128" s="145" t="e" vm="1">
        <f t="shared" ca="1" si="1"/>
        <v>#NAME?</v>
      </c>
      <c r="CR128" s="145" t="e" vm="1">
        <f t="shared" ca="1" si="1"/>
        <v>#NAME?</v>
      </c>
      <c r="CS128" s="145" t="e" vm="1">
        <f t="shared" ca="1" si="1"/>
        <v>#NAME?</v>
      </c>
      <c r="CT128" s="145" t="e" vm="1">
        <f t="shared" ca="1" si="1"/>
        <v>#NAME?</v>
      </c>
      <c r="CU128" s="145" t="e" vm="1">
        <f t="shared" ca="1" si="1"/>
        <v>#NAME?</v>
      </c>
      <c r="CV128" s="145" t="e" vm="1">
        <f t="shared" ca="1" si="1"/>
        <v>#NAME?</v>
      </c>
      <c r="CW128" s="145" t="e" vm="1">
        <f t="shared" ca="1" si="1"/>
        <v>#NAME?</v>
      </c>
      <c r="CX128" s="145" t="e" vm="1">
        <f t="shared" ca="1" si="1"/>
        <v>#NAME?</v>
      </c>
      <c r="CY128" s="145" t="e" vm="1">
        <f t="shared" ca="1" si="1"/>
        <v>#NAME?</v>
      </c>
      <c r="CZ128" s="145" t="e" vm="1">
        <f t="shared" ca="1" si="1"/>
        <v>#NAME?</v>
      </c>
      <c r="DA128" s="145" t="e" vm="1">
        <f t="shared" ca="1" si="1"/>
        <v>#NAME?</v>
      </c>
      <c r="DB128" s="145" t="e" vm="1">
        <f t="shared" ca="1" si="1"/>
        <v>#NAME?</v>
      </c>
      <c r="DC128" s="145" t="e" vm="1">
        <f t="shared" ca="1" si="1"/>
        <v>#NAME?</v>
      </c>
      <c r="DD128" s="145" t="e" vm="1">
        <f t="shared" ca="1" si="1"/>
        <v>#NAME?</v>
      </c>
      <c r="DE128" s="145" t="e" vm="1">
        <f t="shared" ca="1" si="1"/>
        <v>#NAME?</v>
      </c>
      <c r="DF128" s="145" t="e" vm="1">
        <f t="shared" ca="1" si="1"/>
        <v>#NAME?</v>
      </c>
      <c r="DG128" s="145" t="e" vm="1">
        <f t="shared" ca="1" si="1"/>
        <v>#NAME?</v>
      </c>
      <c r="DH128" s="145" t="e" vm="1">
        <f t="shared" ca="1" si="1"/>
        <v>#NAME?</v>
      </c>
      <c r="DI128" s="145" t="e" vm="1">
        <f t="shared" ca="1" si="1"/>
        <v>#NAME?</v>
      </c>
      <c r="DJ128" s="145" t="e" vm="1">
        <f t="shared" ca="1" si="1"/>
        <v>#NAME?</v>
      </c>
      <c r="DK128" s="145" t="e" vm="1">
        <f t="shared" ca="1" si="1"/>
        <v>#NAME?</v>
      </c>
      <c r="DL128" s="145" t="e" vm="1">
        <f t="shared" ca="1" si="1"/>
        <v>#NAME?</v>
      </c>
      <c r="DM128" s="145" t="e" vm="1">
        <f t="shared" ca="1" si="1"/>
        <v>#NAME?</v>
      </c>
      <c r="DN128" s="167" t="e" vm="1">
        <f t="shared" ca="1" si="1"/>
        <v>#NAME?</v>
      </c>
      <c r="DO128" s="145" t="e" vm="1">
        <f t="shared" ca="1" si="1"/>
        <v>#NAME?</v>
      </c>
      <c r="DP128" s="145" t="e" vm="1">
        <f t="shared" ca="1" si="1"/>
        <v>#NAME?</v>
      </c>
      <c r="DQ128" s="145" t="e" vm="1">
        <f t="shared" ca="1" si="1"/>
        <v>#NAME?</v>
      </c>
      <c r="DR128" s="145" t="e" vm="1">
        <f t="shared" ca="1" si="1"/>
        <v>#NAME?</v>
      </c>
      <c r="DS128" s="145" t="e" vm="1">
        <f t="shared" ca="1" si="1"/>
        <v>#NAME?</v>
      </c>
      <c r="DT128" s="145" t="e" vm="1">
        <f t="shared" ca="1" si="1"/>
        <v>#NAME?</v>
      </c>
      <c r="DU128" s="145" t="e" vm="1">
        <f t="shared" ca="1" si="1"/>
        <v>#NAME?</v>
      </c>
      <c r="DV128" s="145"/>
      <c r="DW128" s="143" t="e" vm="1">
        <f ca="1">SUM(E128:DU128)</f>
        <v>#NAME?</v>
      </c>
    </row>
    <row r="130" spans="23:125" x14ac:dyDescent="0.45">
      <c r="W130" t="s">
        <v>1734</v>
      </c>
      <c r="X130" t="s">
        <v>1734</v>
      </c>
      <c r="Y130" t="s">
        <v>1734</v>
      </c>
      <c r="Z130" t="s">
        <v>1734</v>
      </c>
      <c r="AA130" t="s">
        <v>1734</v>
      </c>
      <c r="AB130" t="s">
        <v>1734</v>
      </c>
      <c r="AC130" t="s">
        <v>1734</v>
      </c>
      <c r="AD130" t="s">
        <v>1734</v>
      </c>
      <c r="AE130" t="s">
        <v>1734</v>
      </c>
      <c r="AF130" t="s">
        <v>1734</v>
      </c>
      <c r="AG130" t="s">
        <v>1734</v>
      </c>
      <c r="AH130" t="s">
        <v>1660</v>
      </c>
      <c r="AI130" t="s">
        <v>1660</v>
      </c>
      <c r="AJ130" t="s">
        <v>1660</v>
      </c>
      <c r="AK130" t="s">
        <v>1660</v>
      </c>
      <c r="AL130" t="s">
        <v>1660</v>
      </c>
      <c r="AM130" t="s">
        <v>1660</v>
      </c>
      <c r="AN130" t="s">
        <v>1660</v>
      </c>
      <c r="AO130" t="s">
        <v>1660</v>
      </c>
      <c r="AP130" t="s">
        <v>1734</v>
      </c>
      <c r="AQ130" t="s">
        <v>1734</v>
      </c>
      <c r="AR130" t="s">
        <v>1734</v>
      </c>
      <c r="AS130" t="s">
        <v>1118</v>
      </c>
      <c r="AT130" t="s">
        <v>1118</v>
      </c>
      <c r="AU130" t="s">
        <v>1735</v>
      </c>
      <c r="AV130" t="s">
        <v>1735</v>
      </c>
      <c r="AW130" t="s">
        <v>1735</v>
      </c>
      <c r="AX130" t="s">
        <v>1735</v>
      </c>
      <c r="AY130" t="s">
        <v>1735</v>
      </c>
      <c r="AZ130" t="s">
        <v>1734</v>
      </c>
      <c r="BA130" t="s">
        <v>1734</v>
      </c>
      <c r="BB130" t="s">
        <v>1734</v>
      </c>
      <c r="BC130" s="151"/>
      <c r="BD130" t="s">
        <v>1743</v>
      </c>
      <c r="BE130" t="s">
        <v>1743</v>
      </c>
      <c r="BF130" t="s">
        <v>1680</v>
      </c>
      <c r="BG130" t="s">
        <v>1743</v>
      </c>
      <c r="BH130" t="s">
        <v>1680</v>
      </c>
      <c r="BI130" t="s">
        <v>1743</v>
      </c>
      <c r="BJ130" t="s">
        <v>1680</v>
      </c>
      <c r="BK130" t="s">
        <v>1743</v>
      </c>
      <c r="BL130" t="s">
        <v>1680</v>
      </c>
      <c r="BM130" t="s">
        <v>1743</v>
      </c>
      <c r="BN130" t="s">
        <v>1680</v>
      </c>
      <c r="BO130" t="s">
        <v>1743</v>
      </c>
      <c r="BP130" t="s">
        <v>1680</v>
      </c>
      <c r="BQ130" t="s">
        <v>1743</v>
      </c>
      <c r="BR130" t="s">
        <v>1680</v>
      </c>
      <c r="BS130" t="s">
        <v>1743</v>
      </c>
      <c r="BT130" t="s">
        <v>1680</v>
      </c>
      <c r="BU130" t="s">
        <v>1743</v>
      </c>
      <c r="BV130" t="s">
        <v>1743</v>
      </c>
      <c r="BW130" t="s">
        <v>1743</v>
      </c>
      <c r="BX130" t="s">
        <v>1680</v>
      </c>
      <c r="BY130" t="s">
        <v>1743</v>
      </c>
      <c r="BZ130" t="s">
        <v>1680</v>
      </c>
      <c r="CA130" t="s">
        <v>1743</v>
      </c>
      <c r="CB130" t="s">
        <v>1680</v>
      </c>
      <c r="CC130" t="s">
        <v>1743</v>
      </c>
      <c r="CD130" t="s">
        <v>1680</v>
      </c>
      <c r="CE130" t="s">
        <v>1743</v>
      </c>
      <c r="CF130" s="80" t="s">
        <v>1751</v>
      </c>
      <c r="CG130" t="s">
        <v>1745</v>
      </c>
      <c r="CH130" t="s">
        <v>1680</v>
      </c>
      <c r="CI130" t="s">
        <v>1736</v>
      </c>
      <c r="CJ130" t="s">
        <v>1736</v>
      </c>
      <c r="CK130" t="s">
        <v>1736</v>
      </c>
      <c r="CL130" t="s">
        <v>1736</v>
      </c>
      <c r="CM130" t="s">
        <v>1736</v>
      </c>
      <c r="CN130" t="s">
        <v>1736</v>
      </c>
      <c r="CO130" t="s">
        <v>1736</v>
      </c>
      <c r="CP130" t="s">
        <v>1736</v>
      </c>
      <c r="CQ130" t="s">
        <v>1736</v>
      </c>
      <c r="CR130" t="s">
        <v>1736</v>
      </c>
      <c r="CS130" t="s">
        <v>1736</v>
      </c>
      <c r="CT130" t="s">
        <v>1736</v>
      </c>
      <c r="CU130" t="s">
        <v>1736</v>
      </c>
      <c r="CV130" t="s">
        <v>1736</v>
      </c>
      <c r="CW130" t="s">
        <v>1736</v>
      </c>
      <c r="CX130" t="s">
        <v>1736</v>
      </c>
      <c r="CY130" t="s">
        <v>1736</v>
      </c>
      <c r="CZ130" t="s">
        <v>1736</v>
      </c>
      <c r="DA130" t="s">
        <v>1736</v>
      </c>
      <c r="DB130" t="s">
        <v>1667</v>
      </c>
      <c r="DC130" t="s">
        <v>1667</v>
      </c>
      <c r="DD130" t="s">
        <v>1667</v>
      </c>
      <c r="DE130" t="s">
        <v>1667</v>
      </c>
      <c r="DF130" t="s">
        <v>1753</v>
      </c>
      <c r="DG130" t="s">
        <v>1753</v>
      </c>
      <c r="DH130" t="s">
        <v>1753</v>
      </c>
      <c r="DI130" t="s">
        <v>1755</v>
      </c>
      <c r="DJ130" t="s">
        <v>1667</v>
      </c>
      <c r="DK130" t="s">
        <v>1667</v>
      </c>
      <c r="DL130" t="s">
        <v>1753</v>
      </c>
      <c r="DM130" t="s">
        <v>1667</v>
      </c>
      <c r="DN130" s="80" t="s">
        <v>1667</v>
      </c>
      <c r="DO130" t="s">
        <v>1751</v>
      </c>
      <c r="DP130" t="s">
        <v>1751</v>
      </c>
      <c r="DQ130" s="151"/>
      <c r="DR130" t="s">
        <v>1751</v>
      </c>
      <c r="DS130" t="s">
        <v>1751</v>
      </c>
      <c r="DT130" t="s">
        <v>1751</v>
      </c>
      <c r="DU130" t="s">
        <v>1722</v>
      </c>
    </row>
  </sheetData>
  <sheetProtection algorithmName="SHA-512" hashValue="jAVTeMRq82i5jcy6Lgd6+0QS3dbk+ZyGcdgJLOy0nY81UCs2/4CEdA6cr6DCzcXDT0NK/BdJtwVpAJulNzGTaw==" saltValue="SudtJ4kjXj5SXTtgd5a3ag==" spinCount="100000" sheet="1" objects="1" scenarios="1" selectLockedCells="1" selectUnlockedCells="1"/>
  <mergeCells count="3">
    <mergeCell ref="C3:D3"/>
    <mergeCell ref="C5:D5"/>
    <mergeCell ref="C4:D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C9409-ED65-46B2-AA0A-24DBF8C59E06}">
  <dimension ref="A5:I131"/>
  <sheetViews>
    <sheetView workbookViewId="0">
      <selection activeCell="C16" sqref="C16"/>
    </sheetView>
  </sheetViews>
  <sheetFormatPr defaultRowHeight="14.25" x14ac:dyDescent="0.45"/>
  <cols>
    <col min="2" max="2" width="48.46484375" bestFit="1" customWidth="1"/>
    <col min="3" max="3" width="23.33203125" style="146" customWidth="1"/>
    <col min="4" max="4" width="29.265625" style="146" customWidth="1"/>
    <col min="5" max="5" width="42.19921875" bestFit="1" customWidth="1"/>
    <col min="6" max="6" width="13.59765625" style="109" bestFit="1" customWidth="1"/>
    <col min="7" max="8" width="16.796875" style="146" customWidth="1"/>
    <col min="9" max="9" width="20.265625" bestFit="1" customWidth="1"/>
  </cols>
  <sheetData>
    <row r="5" spans="1:9" x14ac:dyDescent="0.45">
      <c r="A5" s="192" t="s">
        <v>1833</v>
      </c>
      <c r="B5" s="192" t="s">
        <v>1834</v>
      </c>
      <c r="C5" s="197" t="s">
        <v>1838</v>
      </c>
      <c r="D5" s="197" t="s">
        <v>1839</v>
      </c>
      <c r="E5" s="192" t="s">
        <v>1832</v>
      </c>
      <c r="F5" s="194" t="s">
        <v>1835</v>
      </c>
      <c r="G5" s="197" t="s">
        <v>1764</v>
      </c>
      <c r="H5" s="197" t="s">
        <v>1837</v>
      </c>
      <c r="I5" s="197" t="s">
        <v>1836</v>
      </c>
    </row>
    <row r="6" spans="1:9" x14ac:dyDescent="0.45">
      <c r="A6" s="193"/>
      <c r="B6" s="200" t="s">
        <v>1092</v>
      </c>
      <c r="C6" s="203" t="e" vm="2">
        <f ca="1">_xlfn.XLOOKUP(B6,'Consol (TB)'!C:C,'Consol (TB)'!F:F,VALUE("0"),0,1)</f>
        <v>#NAME?</v>
      </c>
      <c r="D6" s="203" t="e" vm="2">
        <f ca="1">_xlfn.XLOOKUP(B6,'Consol (TB)'!C:C,'Consol (TB)'!H:H,VALUE("0"),0,1)</f>
        <v>#NAME?</v>
      </c>
      <c r="E6" s="193"/>
      <c r="F6" s="195" t="e" vm="2">
        <f ca="1">_xlfn.XLOOKUP(B6,'Cashflow Working'!$3:$3,'Cashflow Working'!$4:$4,VALUE("0"),0,1)</f>
        <v>#NAME?</v>
      </c>
      <c r="G6" s="201" t="e" vm="2">
        <f ca="1">_xlfn.XLOOKUP(B6,'Cashflow Working'!$C:$C,'Cashflow Working'!$D:$D,VALUE("0"),0,1)</f>
        <v>#NAME?</v>
      </c>
      <c r="H6" s="201"/>
      <c r="I6" s="20" t="e" vm="1">
        <f t="shared" ref="I6:I69" ca="1" si="0">F6-G6+H6</f>
        <v>#NAME?</v>
      </c>
    </row>
    <row r="7" spans="1:9" x14ac:dyDescent="0.45">
      <c r="A7" s="193"/>
      <c r="B7" s="200" t="s">
        <v>1093</v>
      </c>
      <c r="C7" s="203" t="e" vm="2">
        <f ca="1">_xlfn.XLOOKUP(B7,'Consol (TB)'!C:C,'Consol (TB)'!F:F,VALUE("0"),0,1)</f>
        <v>#NAME?</v>
      </c>
      <c r="D7" s="203" t="e" vm="2">
        <f ca="1">_xlfn.XLOOKUP(B7,'Consol (TB)'!C:C,'Consol (TB)'!H:H,VALUE("0"),0,1)</f>
        <v>#NAME?</v>
      </c>
      <c r="E7" s="193"/>
      <c r="F7" s="195" t="e" vm="2">
        <f ca="1">_xlfn.XLOOKUP(B7,'Cashflow Working'!$3:$3,'Cashflow Working'!$4:$4,VALUE("0"),0,1)</f>
        <v>#NAME?</v>
      </c>
      <c r="G7" s="201" t="e" vm="2">
        <f ca="1">_xlfn.XLOOKUP(B7,'Cashflow Working'!$C:$C,'Cashflow Working'!$D:$D,VALUE("0"),0,1)</f>
        <v>#NAME?</v>
      </c>
      <c r="H7" s="201"/>
      <c r="I7" s="20" t="e" vm="1">
        <f t="shared" ca="1" si="0"/>
        <v>#NAME?</v>
      </c>
    </row>
    <row r="8" spans="1:9" x14ac:dyDescent="0.45">
      <c r="A8" s="193"/>
      <c r="B8" s="200" t="s">
        <v>1413</v>
      </c>
      <c r="C8" s="203" t="e" vm="2">
        <f ca="1">_xlfn.XLOOKUP(B8,'Consol (TB)'!C:C,'Consol (TB)'!F:F,VALUE("0"),0,1)</f>
        <v>#NAME?</v>
      </c>
      <c r="D8" s="203" t="e" vm="2">
        <f ca="1">_xlfn.XLOOKUP(B8,'Consol (TB)'!C:C,'Consol (TB)'!H:H,VALUE("0"),0,1)</f>
        <v>#NAME?</v>
      </c>
      <c r="E8" s="193"/>
      <c r="F8" s="195" t="e" vm="2">
        <f ca="1">_xlfn.XLOOKUP(B8,'Cashflow Working'!$3:$3,'Cashflow Working'!$4:$4,VALUE("0"),0,1)</f>
        <v>#NAME?</v>
      </c>
      <c r="G8" s="201" t="e" vm="2">
        <f ca="1">_xlfn.XLOOKUP(B8,'Cashflow Working'!$C:$C,'Cashflow Working'!$D:$D,VALUE("0"),0,1)</f>
        <v>#NAME?</v>
      </c>
      <c r="H8" s="201"/>
      <c r="I8" s="20" t="e" vm="1">
        <f t="shared" ca="1" si="0"/>
        <v>#NAME?</v>
      </c>
    </row>
    <row r="9" spans="1:9" x14ac:dyDescent="0.45">
      <c r="A9" s="193"/>
      <c r="B9" s="200" t="s">
        <v>1388</v>
      </c>
      <c r="C9" s="203" t="e" vm="2">
        <f ca="1">_xlfn.XLOOKUP(B9,'Consol (TB)'!C:C,'Consol (TB)'!F:F,VALUE("0"),0,1)</f>
        <v>#NAME?</v>
      </c>
      <c r="D9" s="203" t="e" vm="2">
        <f ca="1">_xlfn.XLOOKUP(B9,'Consol (TB)'!C:C,'Consol (TB)'!H:H,VALUE("0"),0,1)</f>
        <v>#NAME?</v>
      </c>
      <c r="E9" s="193"/>
      <c r="F9" s="195" t="e" vm="2">
        <f ca="1">_xlfn.XLOOKUP(B9,'Cashflow Working'!$3:$3,'Cashflow Working'!$4:$4,VALUE("0"),0,1)</f>
        <v>#NAME?</v>
      </c>
      <c r="G9" s="201" t="e" vm="2">
        <f ca="1">_xlfn.XLOOKUP(B9,'Cashflow Working'!$C:$C,'Cashflow Working'!$D:$D,VALUE("0"),0,1)</f>
        <v>#NAME?</v>
      </c>
      <c r="H9" s="201"/>
      <c r="I9" s="20" t="e" vm="1">
        <f t="shared" ca="1" si="0"/>
        <v>#NAME?</v>
      </c>
    </row>
    <row r="10" spans="1:9" x14ac:dyDescent="0.45">
      <c r="A10" s="193"/>
      <c r="B10" s="200" t="s">
        <v>1414</v>
      </c>
      <c r="C10" s="203" t="e" vm="2">
        <f ca="1">_xlfn.XLOOKUP(B10,'Consol (TB)'!C:C,'Consol (TB)'!F:F,VALUE("0"),0,1)</f>
        <v>#NAME?</v>
      </c>
      <c r="D10" s="203" t="e" vm="2">
        <f ca="1">_xlfn.XLOOKUP(B10,'Consol (TB)'!C:C,'Consol (TB)'!H:H,VALUE("0"),0,1)</f>
        <v>#NAME?</v>
      </c>
      <c r="E10" s="193"/>
      <c r="F10" s="195" t="e" vm="2">
        <f ca="1">_xlfn.XLOOKUP(B10,'Cashflow Working'!$3:$3,'Cashflow Working'!$4:$4,VALUE("0"),0,1)</f>
        <v>#NAME?</v>
      </c>
      <c r="G10" s="201" t="e" vm="2">
        <f ca="1">_xlfn.XLOOKUP(B10,'Cashflow Working'!$C:$C,'Cashflow Working'!$D:$D,VALUE("0"),0,1)</f>
        <v>#NAME?</v>
      </c>
      <c r="H10" s="201"/>
      <c r="I10" s="20" t="e" vm="1">
        <f t="shared" ca="1" si="0"/>
        <v>#NAME?</v>
      </c>
    </row>
    <row r="11" spans="1:9" x14ac:dyDescent="0.45">
      <c r="A11">
        <v>11120060</v>
      </c>
      <c r="B11" t="s">
        <v>1094</v>
      </c>
      <c r="C11" s="203" t="e" vm="2">
        <f ca="1">_xlfn.XLOOKUP(B11,'Consol (TB)'!C:C,'Consol (TB)'!F:F,VALUE("0"),0,1)</f>
        <v>#NAME?</v>
      </c>
      <c r="D11" s="203" t="e" vm="2">
        <f ca="1">_xlfn.XLOOKUP(B11,'Consol (TB)'!C:C,'Consol (TB)'!H:H,VALUE("0"),0,1)</f>
        <v>#NAME?</v>
      </c>
      <c r="E11" s="193"/>
      <c r="F11" s="195" t="e" vm="2">
        <f ca="1">_xlfn.XLOOKUP(B11,'Cashflow Working'!$3:$3,'Cashflow Working'!$4:$4,VALUE("0"),0,1)</f>
        <v>#NAME?</v>
      </c>
      <c r="G11" s="201" t="e" vm="2">
        <f ca="1">_xlfn.XLOOKUP(B11,'Cashflow Working'!$C:$C,'Cashflow Working'!$D:$D,VALUE("0"),0,1)</f>
        <v>#NAME?</v>
      </c>
      <c r="H11" s="201"/>
      <c r="I11" s="20" t="e" vm="1">
        <f t="shared" ca="1" si="0"/>
        <v>#NAME?</v>
      </c>
    </row>
    <row r="12" spans="1:9" x14ac:dyDescent="0.45">
      <c r="A12">
        <v>11120061</v>
      </c>
      <c r="B12" t="s">
        <v>1095</v>
      </c>
      <c r="C12" s="203" t="e" vm="2">
        <f ca="1">_xlfn.XLOOKUP(B12,'Consol (TB)'!C:C,'Consol (TB)'!F:F,VALUE("0"),0,1)</f>
        <v>#NAME?</v>
      </c>
      <c r="D12" s="203" t="e" vm="2">
        <f ca="1">_xlfn.XLOOKUP(B12,'Consol (TB)'!C:C,'Consol (TB)'!H:H,VALUE("0"),0,1)</f>
        <v>#NAME?</v>
      </c>
      <c r="E12" s="193" t="s">
        <v>1413</v>
      </c>
      <c r="F12" s="195" t="e" vm="2">
        <f ca="1">_xlfn.XLOOKUP(B12,'Cashflow Working'!$3:$3,'Cashflow Working'!$4:$4,VALUE("0"),0,1)</f>
        <v>#NAME?</v>
      </c>
      <c r="G12" s="201" t="e" vm="2">
        <f ca="1">_xlfn.XLOOKUP(B12,'Cashflow Working'!$C:$C,'Cashflow Working'!$D:$D,VALUE("0"),0,1)</f>
        <v>#NAME?</v>
      </c>
      <c r="H12" s="201"/>
      <c r="I12" s="20" t="e" vm="1">
        <f t="shared" ca="1" si="0"/>
        <v>#NAME?</v>
      </c>
    </row>
    <row r="13" spans="1:9" x14ac:dyDescent="0.45">
      <c r="A13">
        <v>11120062</v>
      </c>
      <c r="B13" t="s">
        <v>1096</v>
      </c>
      <c r="C13" s="203" t="e" vm="2">
        <f ca="1">_xlfn.XLOOKUP(B13,'Consol (TB)'!C:C,'Consol (TB)'!F:F,VALUE("0"),0,1)</f>
        <v>#NAME?</v>
      </c>
      <c r="D13" s="203" t="e" vm="2">
        <f ca="1">_xlfn.XLOOKUP(B13,'Consol (TB)'!C:C,'Consol (TB)'!H:H,VALUE("0"),0,1)</f>
        <v>#NAME?</v>
      </c>
      <c r="E13" s="193"/>
      <c r="F13" s="195" t="e" vm="2">
        <f ca="1">_xlfn.XLOOKUP(B13,'Cashflow Working'!$3:$3,'Cashflow Working'!$4:$4,VALUE("0"),0,1)</f>
        <v>#NAME?</v>
      </c>
      <c r="G13" s="201" t="e" vm="2">
        <f ca="1">_xlfn.XLOOKUP(B13,'Cashflow Working'!$C:$C,'Cashflow Working'!$D:$D,VALUE("0"),0,1)</f>
        <v>#NAME?</v>
      </c>
      <c r="H13" s="201"/>
      <c r="I13" s="20" t="e" vm="1">
        <f t="shared" ca="1" si="0"/>
        <v>#NAME?</v>
      </c>
    </row>
    <row r="14" spans="1:9" x14ac:dyDescent="0.45">
      <c r="A14">
        <v>11120080</v>
      </c>
      <c r="B14" t="s">
        <v>1097</v>
      </c>
      <c r="C14" s="203" t="e" vm="2">
        <f ca="1">_xlfn.XLOOKUP(B14,'Consol (TB)'!C:C,'Consol (TB)'!F:F,VALUE("0"),0,1)</f>
        <v>#NAME?</v>
      </c>
      <c r="D14" s="203" t="e" vm="2">
        <f ca="1">_xlfn.XLOOKUP(B14,'Consol (TB)'!C:C,'Consol (TB)'!H:H,VALUE("0"),0,1)</f>
        <v>#NAME?</v>
      </c>
      <c r="E14" s="193"/>
      <c r="F14" s="195" t="e" vm="2">
        <f ca="1">_xlfn.XLOOKUP(B14,'Cashflow Working'!$3:$3,'Cashflow Working'!$4:$4,VALUE("0"),0,1)</f>
        <v>#NAME?</v>
      </c>
      <c r="G14" s="201" t="e" vm="2">
        <f ca="1">_xlfn.XLOOKUP(B14,'Cashflow Working'!$C:$C,'Cashflow Working'!$D:$D,VALUE("0"),0,1)</f>
        <v>#NAME?</v>
      </c>
      <c r="H14" s="201"/>
      <c r="I14" s="20" t="e" vm="1">
        <f t="shared" ca="1" si="0"/>
        <v>#NAME?</v>
      </c>
    </row>
    <row r="15" spans="1:9" x14ac:dyDescent="0.45">
      <c r="A15">
        <v>11120081</v>
      </c>
      <c r="B15" t="s">
        <v>1555</v>
      </c>
      <c r="C15" s="203" t="e" vm="2">
        <f ca="1">_xlfn.XLOOKUP(B15,'Consol (TB)'!C:C,'Consol (TB)'!F:F,VALUE("0"),0,1)</f>
        <v>#NAME?</v>
      </c>
      <c r="D15" s="203" t="e" vm="2">
        <f ca="1">_xlfn.XLOOKUP(B15,'Consol (TB)'!C:C,'Consol (TB)'!H:H,VALUE("0"),0,1)</f>
        <v>#NAME?</v>
      </c>
      <c r="E15" s="193"/>
      <c r="F15" s="195" t="e" vm="2">
        <f ca="1">_xlfn.XLOOKUP(B15,'Cashflow Working'!$3:$3,'Cashflow Working'!$4:$4,VALUE("0"),0,1)</f>
        <v>#NAME?</v>
      </c>
      <c r="G15" s="201" t="e" vm="2">
        <f ca="1">_xlfn.XLOOKUP(B15,'Cashflow Working'!$C:$C,'Cashflow Working'!$D:$D,VALUE("0"),0,1)</f>
        <v>#NAME?</v>
      </c>
      <c r="H15" s="201"/>
      <c r="I15" s="20" t="e" vm="1">
        <f t="shared" ca="1" si="0"/>
        <v>#NAME?</v>
      </c>
    </row>
    <row r="16" spans="1:9" x14ac:dyDescent="0.45">
      <c r="A16">
        <v>11120082</v>
      </c>
      <c r="B16" t="s">
        <v>1098</v>
      </c>
      <c r="C16" s="203" t="e" vm="2">
        <f ca="1">_xlfn.XLOOKUP(B16,'Consol (TB)'!C:C,'Consol (TB)'!F:F,VALUE("0"),0,1)</f>
        <v>#NAME?</v>
      </c>
      <c r="D16" s="203" t="e" vm="2">
        <f ca="1">_xlfn.XLOOKUP(B16,'Consol (TB)'!C:C,'Consol (TB)'!H:H,VALUE("0"),0,1)</f>
        <v>#NAME?</v>
      </c>
      <c r="E16" s="193"/>
      <c r="F16" s="195" t="e" vm="2">
        <f ca="1">_xlfn.XLOOKUP(B16,'Cashflow Working'!$3:$3,'Cashflow Working'!$4:$4,VALUE("0"),0,1)</f>
        <v>#NAME?</v>
      </c>
      <c r="G16" s="201" t="e" vm="2">
        <f ca="1">_xlfn.XLOOKUP(B16,'Cashflow Working'!$C:$C,'Cashflow Working'!$D:$D,VALUE("0"),0,1)</f>
        <v>#NAME?</v>
      </c>
      <c r="H16" s="201"/>
      <c r="I16" s="20" t="e" vm="1">
        <f t="shared" ca="1" si="0"/>
        <v>#NAME?</v>
      </c>
    </row>
    <row r="17" spans="1:9" x14ac:dyDescent="0.45">
      <c r="A17">
        <v>11120200</v>
      </c>
      <c r="B17" t="s">
        <v>1099</v>
      </c>
      <c r="C17" s="203" t="e" vm="2">
        <f ca="1">_xlfn.XLOOKUP(B17,'Consol (TB)'!C:C,'Consol (TB)'!F:F,VALUE("0"),0,1)</f>
        <v>#NAME?</v>
      </c>
      <c r="D17" s="203" t="e" vm="2">
        <f ca="1">_xlfn.XLOOKUP(B17,'Consol (TB)'!C:C,'Consol (TB)'!H:H,VALUE("0"),0,1)</f>
        <v>#NAME?</v>
      </c>
      <c r="E17" s="193"/>
      <c r="F17" s="195" t="e" vm="2">
        <f ca="1">_xlfn.XLOOKUP(B17,'Cashflow Working'!$3:$3,'Cashflow Working'!$4:$4,VALUE("0"),0,1)</f>
        <v>#NAME?</v>
      </c>
      <c r="G17" s="201" t="e" vm="2">
        <f ca="1">_xlfn.XLOOKUP(B17,'Cashflow Working'!$C:$C,'Cashflow Working'!$D:$D,VALUE("0"),0,1)</f>
        <v>#NAME?</v>
      </c>
      <c r="H17" s="201"/>
      <c r="I17" s="20" t="e" vm="1">
        <f t="shared" ca="1" si="0"/>
        <v>#NAME?</v>
      </c>
    </row>
    <row r="18" spans="1:9" x14ac:dyDescent="0.45">
      <c r="B18" t="s">
        <v>1415</v>
      </c>
      <c r="C18" s="203" t="e" vm="2">
        <f ca="1">_xlfn.XLOOKUP(B18,'Consol (TB)'!C:C,'Consol (TB)'!F:F,VALUE("0"),0,1)</f>
        <v>#NAME?</v>
      </c>
      <c r="D18" s="203" t="e" vm="2">
        <f ca="1">_xlfn.XLOOKUP(B18,'Consol (TB)'!C:C,'Consol (TB)'!H:H,VALUE("0"),0,1)</f>
        <v>#NAME?</v>
      </c>
      <c r="E18" s="193"/>
      <c r="F18" s="195" t="e" vm="2">
        <f ca="1">_xlfn.XLOOKUP(B18,'Cashflow Working'!$3:$3,'Cashflow Working'!$4:$4,VALUE("0"),0,1)</f>
        <v>#NAME?</v>
      </c>
      <c r="G18" s="201" t="e" vm="2">
        <f ca="1">_xlfn.XLOOKUP(B18,'Cashflow Working'!$C:$C,'Cashflow Working'!$D:$D,VALUE("0"),0,1)</f>
        <v>#NAME?</v>
      </c>
      <c r="H18" s="201"/>
      <c r="I18" s="20" t="e" vm="1">
        <f t="shared" ca="1" si="0"/>
        <v>#NAME?</v>
      </c>
    </row>
    <row r="19" spans="1:9" x14ac:dyDescent="0.45">
      <c r="B19" t="s">
        <v>1416</v>
      </c>
      <c r="C19" s="203" t="e" vm="2">
        <f ca="1">_xlfn.XLOOKUP(B19,'Consol (TB)'!C:C,'Consol (TB)'!F:F,VALUE("0"),0,1)</f>
        <v>#NAME?</v>
      </c>
      <c r="D19" s="203" t="e" vm="2">
        <f ca="1">_xlfn.XLOOKUP(B19,'Consol (TB)'!C:C,'Consol (TB)'!H:H,VALUE("0"),0,1)</f>
        <v>#NAME?</v>
      </c>
      <c r="E19" s="193"/>
      <c r="F19" s="195" t="e" vm="2">
        <f ca="1">_xlfn.XLOOKUP(B19,'Cashflow Working'!$3:$3,'Cashflow Working'!$4:$4,VALUE("0"),0,1)</f>
        <v>#NAME?</v>
      </c>
      <c r="G19" s="201" t="e" vm="2">
        <f ca="1">_xlfn.XLOOKUP(B19,'Cashflow Working'!$C:$C,'Cashflow Working'!$D:$D,VALUE("0"),0,1)</f>
        <v>#NAME?</v>
      </c>
      <c r="H19" s="201"/>
      <c r="I19" s="20" t="e" vm="1">
        <f t="shared" ca="1" si="0"/>
        <v>#NAME?</v>
      </c>
    </row>
    <row r="20" spans="1:9" x14ac:dyDescent="0.45">
      <c r="B20" t="s">
        <v>1417</v>
      </c>
      <c r="C20" s="203" t="e" vm="2">
        <f ca="1">_xlfn.XLOOKUP(B20,'Consol (TB)'!C:C,'Consol (TB)'!F:F,VALUE("0"),0,1)</f>
        <v>#NAME?</v>
      </c>
      <c r="D20" s="203" t="e" vm="2">
        <f ca="1">_xlfn.XLOOKUP(B20,'Consol (TB)'!C:C,'Consol (TB)'!H:H,VALUE("0"),0,1)</f>
        <v>#NAME?</v>
      </c>
      <c r="E20" s="193"/>
      <c r="F20" s="195" t="e" vm="2">
        <f ca="1">_xlfn.XLOOKUP(B20,'Cashflow Working'!$3:$3,'Cashflow Working'!$4:$4,VALUE("0"),0,1)</f>
        <v>#NAME?</v>
      </c>
      <c r="G20" s="201" t="e" vm="2">
        <f ca="1">_xlfn.XLOOKUP(B20,'Cashflow Working'!$C:$C,'Cashflow Working'!$D:$D,VALUE("0"),0,1)</f>
        <v>#NAME?</v>
      </c>
      <c r="H20" s="201"/>
      <c r="I20" s="20" t="e" vm="1">
        <f t="shared" ca="1" si="0"/>
        <v>#NAME?</v>
      </c>
    </row>
    <row r="21" spans="1:9" x14ac:dyDescent="0.45">
      <c r="B21" t="s">
        <v>1418</v>
      </c>
      <c r="C21" s="203" t="e" vm="2">
        <f ca="1">_xlfn.XLOOKUP(B21,'Consol (TB)'!C:C,'Consol (TB)'!F:F,VALUE("0"),0,1)</f>
        <v>#NAME?</v>
      </c>
      <c r="D21" s="203" t="e" vm="2">
        <f ca="1">_xlfn.XLOOKUP(B21,'Consol (TB)'!C:C,'Consol (TB)'!H:H,VALUE("0"),0,1)</f>
        <v>#NAME?</v>
      </c>
      <c r="E21" s="193"/>
      <c r="F21" s="195" t="e" vm="2">
        <f ca="1">_xlfn.XLOOKUP(B21,'Cashflow Working'!$3:$3,'Cashflow Working'!$4:$4,VALUE("0"),0,1)</f>
        <v>#NAME?</v>
      </c>
      <c r="G21" s="201" t="e" vm="2">
        <f ca="1">_xlfn.XLOOKUP(B21,'Cashflow Working'!$C:$C,'Cashflow Working'!$D:$D,VALUE("0"),0,1)</f>
        <v>#NAME?</v>
      </c>
      <c r="H21" s="201"/>
      <c r="I21" s="20" t="e" vm="1">
        <f t="shared" ca="1" si="0"/>
        <v>#NAME?</v>
      </c>
    </row>
    <row r="22" spans="1:9" x14ac:dyDescent="0.45">
      <c r="B22" t="s">
        <v>1389</v>
      </c>
      <c r="C22" s="203" t="e" vm="2">
        <f ca="1">_xlfn.XLOOKUP(B22,'Consol (TB)'!C:C,'Consol (TB)'!F:F,VALUE("0"),0,1)</f>
        <v>#NAME?</v>
      </c>
      <c r="D22" s="203" t="e" vm="2">
        <f ca="1">_xlfn.XLOOKUP(B22,'Consol (TB)'!C:C,'Consol (TB)'!H:H,VALUE("0"),0,1)</f>
        <v>#NAME?</v>
      </c>
      <c r="E22" s="193"/>
      <c r="F22" s="195" t="e" vm="2">
        <f ca="1">_xlfn.XLOOKUP(B22,'Cashflow Working'!$3:$3,'Cashflow Working'!$4:$4,VALUE("0"),0,1)</f>
        <v>#NAME?</v>
      </c>
      <c r="G22" s="201" t="e" vm="2">
        <f ca="1">_xlfn.XLOOKUP(B22,'Cashflow Working'!$C:$C,'Cashflow Working'!$D:$D,VALUE("0"),0,1)</f>
        <v>#NAME?</v>
      </c>
      <c r="H22" s="201"/>
      <c r="I22" s="20" t="e" vm="1">
        <f t="shared" ca="1" si="0"/>
        <v>#NAME?</v>
      </c>
    </row>
    <row r="23" spans="1:9" x14ac:dyDescent="0.45">
      <c r="B23" t="s">
        <v>1419</v>
      </c>
      <c r="C23" s="203" t="e" vm="2">
        <f ca="1">_xlfn.XLOOKUP(B23,'Consol (TB)'!C:C,'Consol (TB)'!F:F,VALUE("0"),0,1)</f>
        <v>#NAME?</v>
      </c>
      <c r="D23" s="203" t="e" vm="2">
        <f ca="1">_xlfn.XLOOKUP(B23,'Consol (TB)'!C:C,'Consol (TB)'!H:H,VALUE("0"),0,1)</f>
        <v>#NAME?</v>
      </c>
      <c r="E23" s="193"/>
      <c r="F23" s="195" t="e" vm="2">
        <f ca="1">_xlfn.XLOOKUP(B23,'Cashflow Working'!$3:$3,'Cashflow Working'!$4:$4,VALUE("0"),0,1)</f>
        <v>#NAME?</v>
      </c>
      <c r="G23" s="201" t="e" vm="2">
        <f ca="1">_xlfn.XLOOKUP(B23,'Cashflow Working'!$C:$C,'Cashflow Working'!$D:$D,VALUE("0"),0,1)</f>
        <v>#NAME?</v>
      </c>
      <c r="H23" s="201"/>
      <c r="I23" s="20" t="e" vm="1">
        <f t="shared" ca="1" si="0"/>
        <v>#NAME?</v>
      </c>
    </row>
    <row r="24" spans="1:9" x14ac:dyDescent="0.45">
      <c r="C24" s="203" t="e" vm="2">
        <f ca="1">_xlfn.XLOOKUP(B24,'Consol (TB)'!C:C,'Consol (TB)'!F:F,VALUE("0"),0,1)</f>
        <v>#NAME?</v>
      </c>
      <c r="D24" s="203" t="e" vm="2">
        <f ca="1">_xlfn.XLOOKUP(B24,'Consol (TB)'!C:C,'Consol (TB)'!H:H,VALUE("0"),0,1)</f>
        <v>#NAME?</v>
      </c>
      <c r="E24" s="193"/>
      <c r="F24" s="196"/>
      <c r="G24" s="198"/>
      <c r="H24" s="198"/>
      <c r="I24" s="20"/>
    </row>
    <row r="25" spans="1:9" x14ac:dyDescent="0.45">
      <c r="A25" s="193"/>
      <c r="B25" s="193"/>
      <c r="C25" s="203" t="e" vm="2">
        <f ca="1">_xlfn.XLOOKUP(B25,'Consol (TB)'!C:C,'Consol (TB)'!F:F,VALUE("0"),0,1)</f>
        <v>#NAME?</v>
      </c>
      <c r="D25" s="203" t="e" vm="2">
        <f ca="1">_xlfn.XLOOKUP(B25,'Consol (TB)'!C:C,'Consol (TB)'!H:H,VALUE("0"),0,1)</f>
        <v>#NAME?</v>
      </c>
      <c r="E25" s="193"/>
      <c r="F25" s="196"/>
      <c r="G25" s="198"/>
      <c r="H25" s="198"/>
      <c r="I25" s="20"/>
    </row>
    <row r="26" spans="1:9" x14ac:dyDescent="0.45">
      <c r="A26">
        <v>11210010</v>
      </c>
      <c r="B26" t="s">
        <v>1100</v>
      </c>
      <c r="C26" s="203" t="e" vm="2">
        <f ca="1">_xlfn.XLOOKUP(B26,'Consol (TB)'!C:C,'Consol (TB)'!F:F,VALUE("0"),0,1)</f>
        <v>#NAME?</v>
      </c>
      <c r="D26" s="203" t="e" vm="2">
        <f ca="1">_xlfn.XLOOKUP(B26,'Consol (TB)'!C:C,'Consol (TB)'!H:H,VALUE("0"),0,1)</f>
        <v>#NAME?</v>
      </c>
      <c r="E26" t="s">
        <v>1734</v>
      </c>
      <c r="F26" s="146" t="e" vm="2">
        <f ca="1">_xlfn.XLOOKUP(B26,'Cashflow Working'!$3:$3,'Cashflow Working'!$4:$4,VALUE("0"),0,1)</f>
        <v>#NAME?</v>
      </c>
      <c r="G26" s="199" t="e" vm="2">
        <f ca="1">_xlfn.XLOOKUP(B26,'Cashflow Working'!$C:$C,'Cashflow Working'!$D:$D,VALUE("0"),0,1)</f>
        <v>#NAME?</v>
      </c>
      <c r="H26" s="199"/>
      <c r="I26" s="20" t="e" vm="1">
        <f t="shared" ca="1" si="0"/>
        <v>#NAME?</v>
      </c>
    </row>
    <row r="27" spans="1:9" x14ac:dyDescent="0.45">
      <c r="A27">
        <v>11210020</v>
      </c>
      <c r="B27" t="s">
        <v>1101</v>
      </c>
      <c r="C27" s="203" t="e" vm="2">
        <f ca="1">_xlfn.XLOOKUP(B27,'Consol (TB)'!C:C,'Consol (TB)'!F:F,VALUE("0"),0,1)</f>
        <v>#NAME?</v>
      </c>
      <c r="D27" s="203" t="e" vm="2">
        <f ca="1">_xlfn.XLOOKUP(B27,'Consol (TB)'!C:C,'Consol (TB)'!H:H,VALUE("0"),0,1)</f>
        <v>#NAME?</v>
      </c>
      <c r="E27" t="s">
        <v>1734</v>
      </c>
      <c r="F27" s="146" t="e" vm="2">
        <f ca="1">_xlfn.XLOOKUP(B27,'Cashflow Working'!$3:$3,'Cashflow Working'!$4:$4,VALUE("0"),0,1)</f>
        <v>#NAME?</v>
      </c>
      <c r="G27" s="199" t="e" vm="2">
        <f ca="1">_xlfn.XLOOKUP(B27,'Cashflow Working'!$C:$C,'Cashflow Working'!$D:$D,VALUE("0"),0,1)</f>
        <v>#NAME?</v>
      </c>
      <c r="H27" s="199"/>
      <c r="I27" s="20" t="e" vm="1">
        <f t="shared" ca="1" si="0"/>
        <v>#NAME?</v>
      </c>
    </row>
    <row r="28" spans="1:9" x14ac:dyDescent="0.45">
      <c r="A28">
        <v>11210030</v>
      </c>
      <c r="B28" t="s">
        <v>1102</v>
      </c>
      <c r="C28" s="203" t="e" vm="2">
        <f ca="1">_xlfn.XLOOKUP(B28,'Consol (TB)'!C:C,'Consol (TB)'!F:F,VALUE("0"),0,1)</f>
        <v>#NAME?</v>
      </c>
      <c r="D28" s="203" t="e" vm="2">
        <f ca="1">_xlfn.XLOOKUP(B28,'Consol (TB)'!C:C,'Consol (TB)'!H:H,VALUE("0"),0,1)</f>
        <v>#NAME?</v>
      </c>
      <c r="E28" t="s">
        <v>1734</v>
      </c>
      <c r="F28" s="146" t="e" vm="2">
        <f ca="1">_xlfn.XLOOKUP(B28,'Cashflow Working'!$3:$3,'Cashflow Working'!$4:$4,VALUE("0"),0,1)</f>
        <v>#NAME?</v>
      </c>
      <c r="G28" s="199" t="e" vm="2">
        <f ca="1">_xlfn.XLOOKUP(B28,'Cashflow Working'!$C:$C,'Cashflow Working'!$D:$D,VALUE("0"),0,1)</f>
        <v>#NAME?</v>
      </c>
      <c r="H28" s="199"/>
      <c r="I28" s="20" t="e" vm="1">
        <f t="shared" ca="1" si="0"/>
        <v>#NAME?</v>
      </c>
    </row>
    <row r="29" spans="1:9" x14ac:dyDescent="0.45">
      <c r="B29" t="s">
        <v>1387</v>
      </c>
      <c r="C29" s="203" t="e" vm="2">
        <f ca="1">_xlfn.XLOOKUP(B29,'Consol (TB)'!C:C,'Consol (TB)'!F:F,VALUE("0"),0,1)</f>
        <v>#NAME?</v>
      </c>
      <c r="D29" s="203" t="e" vm="2">
        <f ca="1">_xlfn.XLOOKUP(B29,'Consol (TB)'!C:C,'Consol (TB)'!H:H,VALUE("0"),0,1)</f>
        <v>#NAME?</v>
      </c>
      <c r="E29" t="s">
        <v>1734</v>
      </c>
      <c r="F29" s="146" t="e" vm="2">
        <f ca="1">_xlfn.XLOOKUP(B29,'Cashflow Working'!$3:$3,'Cashflow Working'!$4:$4,VALUE("0"),0,1)</f>
        <v>#NAME?</v>
      </c>
      <c r="G29" s="199" t="e" vm="2">
        <f ca="1">_xlfn.XLOOKUP(B29,'Cashflow Working'!$C:$C,'Cashflow Working'!$D:$D,VALUE("0"),0,1)</f>
        <v>#NAME?</v>
      </c>
      <c r="H29" s="199"/>
      <c r="I29" s="20" t="e" vm="1">
        <f t="shared" ca="1" si="0"/>
        <v>#NAME?</v>
      </c>
    </row>
    <row r="30" spans="1:9" x14ac:dyDescent="0.45">
      <c r="A30">
        <v>11210050</v>
      </c>
      <c r="B30" t="s">
        <v>1103</v>
      </c>
      <c r="C30" s="203" t="e" vm="2">
        <f ca="1">_xlfn.XLOOKUP(B30,'Consol (TB)'!C:C,'Consol (TB)'!F:F,VALUE("0"),0,1)</f>
        <v>#NAME?</v>
      </c>
      <c r="D30" s="203" t="e" vm="2">
        <f ca="1">_xlfn.XLOOKUP(B30,'Consol (TB)'!C:C,'Consol (TB)'!H:H,VALUE("0"),0,1)</f>
        <v>#NAME?</v>
      </c>
      <c r="E30" t="s">
        <v>1734</v>
      </c>
      <c r="F30" s="146" t="e" vm="2">
        <f ca="1">_xlfn.XLOOKUP(B30,'Cashflow Working'!$3:$3,'Cashflow Working'!$4:$4,VALUE("0"),0,1)</f>
        <v>#NAME?</v>
      </c>
      <c r="G30" s="199" t="e" vm="2">
        <f ca="1">_xlfn.XLOOKUP(B30,'Cashflow Working'!$C:$C,'Cashflow Working'!$D:$D,VALUE("0"),0,1)</f>
        <v>#NAME?</v>
      </c>
      <c r="H30" s="199"/>
      <c r="I30" s="20" t="e" vm="1">
        <f t="shared" ca="1" si="0"/>
        <v>#NAME?</v>
      </c>
    </row>
    <row r="31" spans="1:9" x14ac:dyDescent="0.45">
      <c r="A31">
        <v>11210070</v>
      </c>
      <c r="B31" t="s">
        <v>1104</v>
      </c>
      <c r="C31" s="203" t="e" vm="2">
        <f ca="1">_xlfn.XLOOKUP(B31,'Consol (TB)'!C:C,'Consol (TB)'!F:F,VALUE("0"),0,1)</f>
        <v>#NAME?</v>
      </c>
      <c r="D31" s="203" t="e" vm="2">
        <f ca="1">_xlfn.XLOOKUP(B31,'Consol (TB)'!C:C,'Consol (TB)'!H:H,VALUE("0"),0,1)</f>
        <v>#NAME?</v>
      </c>
      <c r="E31" t="s">
        <v>1734</v>
      </c>
      <c r="F31" s="146" t="e" vm="2">
        <f ca="1">_xlfn.XLOOKUP(B31,'Cashflow Working'!$3:$3,'Cashflow Working'!$4:$4,VALUE("0"),0,1)</f>
        <v>#NAME?</v>
      </c>
      <c r="G31" s="199" t="e" vm="2">
        <f ca="1">_xlfn.XLOOKUP(B31,'Cashflow Working'!$C:$C,'Cashflow Working'!$D:$D,VALUE("0"),0,1)</f>
        <v>#NAME?</v>
      </c>
      <c r="H31" s="199"/>
      <c r="I31" s="20" t="e" vm="1">
        <f t="shared" ca="1" si="0"/>
        <v>#NAME?</v>
      </c>
    </row>
    <row r="32" spans="1:9" x14ac:dyDescent="0.45">
      <c r="A32">
        <v>11210088</v>
      </c>
      <c r="B32" t="s">
        <v>1105</v>
      </c>
      <c r="C32" s="203" t="e" vm="2">
        <f ca="1">_xlfn.XLOOKUP(B32,'Consol (TB)'!C:C,'Consol (TB)'!F:F,VALUE("0"),0,1)</f>
        <v>#NAME?</v>
      </c>
      <c r="D32" s="203" t="e" vm="2">
        <f ca="1">_xlfn.XLOOKUP(B32,'Consol (TB)'!C:C,'Consol (TB)'!H:H,VALUE("0"),0,1)</f>
        <v>#NAME?</v>
      </c>
      <c r="E32" t="s">
        <v>1734</v>
      </c>
      <c r="F32" s="146" t="e" vm="2">
        <f ca="1">_xlfn.XLOOKUP(B32,'Cashflow Working'!$3:$3,'Cashflow Working'!$4:$4,VALUE("0"),0,1)</f>
        <v>#NAME?</v>
      </c>
      <c r="G32" s="199" t="e" vm="2">
        <f ca="1">_xlfn.XLOOKUP(B32,'Cashflow Working'!$C:$C,'Cashflow Working'!$D:$D,VALUE("0"),0,1)</f>
        <v>#NAME?</v>
      </c>
      <c r="H32" s="199"/>
      <c r="I32" s="20" t="e" vm="1">
        <f t="shared" ca="1" si="0"/>
        <v>#NAME?</v>
      </c>
    </row>
    <row r="33" spans="1:9" x14ac:dyDescent="0.45">
      <c r="A33">
        <v>11210097</v>
      </c>
      <c r="B33" t="s">
        <v>1106</v>
      </c>
      <c r="C33" s="203" t="e" vm="2">
        <f ca="1">_xlfn.XLOOKUP(B33,'Consol (TB)'!C:C,'Consol (TB)'!F:F,VALUE("0"),0,1)</f>
        <v>#NAME?</v>
      </c>
      <c r="D33" s="203" t="e" vm="2">
        <f ca="1">_xlfn.XLOOKUP(B33,'Consol (TB)'!C:C,'Consol (TB)'!H:H,VALUE("0"),0,1)</f>
        <v>#NAME?</v>
      </c>
      <c r="E33" t="s">
        <v>1734</v>
      </c>
      <c r="F33" s="146" t="e" vm="2">
        <f ca="1">_xlfn.XLOOKUP(B33,'Cashflow Working'!$3:$3,'Cashflow Working'!$4:$4,VALUE("0"),0,1)</f>
        <v>#NAME?</v>
      </c>
      <c r="G33" s="199" t="e" vm="2">
        <f ca="1">_xlfn.XLOOKUP(B33,'Cashflow Working'!$C:$C,'Cashflow Working'!$D:$D,VALUE("0"),0,1)</f>
        <v>#NAME?</v>
      </c>
      <c r="H33" s="199"/>
      <c r="I33" s="20" t="e" vm="1">
        <f t="shared" ca="1" si="0"/>
        <v>#NAME?</v>
      </c>
    </row>
    <row r="34" spans="1:9" x14ac:dyDescent="0.45">
      <c r="A34">
        <v>11210100</v>
      </c>
      <c r="B34" t="s">
        <v>1107</v>
      </c>
      <c r="C34" s="203" t="e" vm="2">
        <f ca="1">_xlfn.XLOOKUP(B34,'Consol (TB)'!C:C,'Consol (TB)'!F:F,VALUE("0"),0,1)</f>
        <v>#NAME?</v>
      </c>
      <c r="D34" s="203" t="e" vm="2">
        <f ca="1">_xlfn.XLOOKUP(B34,'Consol (TB)'!C:C,'Consol (TB)'!H:H,VALUE("0"),0,1)</f>
        <v>#NAME?</v>
      </c>
      <c r="E34" t="s">
        <v>1734</v>
      </c>
      <c r="F34" s="146" t="e" vm="2">
        <f ca="1">_xlfn.XLOOKUP(B34,'Cashflow Working'!$3:$3,'Cashflow Working'!$4:$4,VALUE("0"),0,1)</f>
        <v>#NAME?</v>
      </c>
      <c r="G34" s="199" t="e" vm="2">
        <f ca="1">_xlfn.XLOOKUP(B34,'Cashflow Working'!$C:$C,'Cashflow Working'!$D:$D,VALUE("0"),0,1)</f>
        <v>#NAME?</v>
      </c>
      <c r="H34" s="199"/>
      <c r="I34" s="20" t="e" vm="1">
        <f t="shared" ca="1" si="0"/>
        <v>#NAME?</v>
      </c>
    </row>
    <row r="35" spans="1:9" x14ac:dyDescent="0.45">
      <c r="A35">
        <v>11219998</v>
      </c>
      <c r="B35" t="s">
        <v>1108</v>
      </c>
      <c r="C35" s="203" t="e" vm="2">
        <f ca="1">_xlfn.XLOOKUP(B35,'Consol (TB)'!C:C,'Consol (TB)'!F:F,VALUE("0"),0,1)</f>
        <v>#NAME?</v>
      </c>
      <c r="D35" s="203" t="e" vm="2">
        <f ca="1">_xlfn.XLOOKUP(B35,'Consol (TB)'!C:C,'Consol (TB)'!H:H,VALUE("0"),0,1)</f>
        <v>#NAME?</v>
      </c>
      <c r="E35" t="s">
        <v>1734</v>
      </c>
      <c r="F35" s="146" t="e" vm="2">
        <f ca="1">_xlfn.XLOOKUP(B35,'Cashflow Working'!$3:$3,'Cashflow Working'!$4:$4,VALUE("0"),0,1)</f>
        <v>#NAME?</v>
      </c>
      <c r="G35" s="199" t="e" vm="2">
        <f ca="1">_xlfn.XLOOKUP(B35,'Cashflow Working'!$C:$C,'Cashflow Working'!$D:$D,VALUE("0"),0,1)</f>
        <v>#NAME?</v>
      </c>
      <c r="H35" s="199"/>
      <c r="I35" s="20" t="e" vm="1">
        <f t="shared" ca="1" si="0"/>
        <v>#NAME?</v>
      </c>
    </row>
    <row r="36" spans="1:9" x14ac:dyDescent="0.45">
      <c r="A36">
        <v>11219999</v>
      </c>
      <c r="B36" t="s">
        <v>1109</v>
      </c>
      <c r="C36" s="203" t="e" vm="2">
        <f ca="1">_xlfn.XLOOKUP(B36,'Consol (TB)'!C:C,'Consol (TB)'!F:F,VALUE("0"),0,1)</f>
        <v>#NAME?</v>
      </c>
      <c r="D36" s="203" t="e" vm="2">
        <f ca="1">_xlfn.XLOOKUP(B36,'Consol (TB)'!C:C,'Consol (TB)'!H:H,VALUE("0"),0,1)</f>
        <v>#NAME?</v>
      </c>
      <c r="E36" t="s">
        <v>1734</v>
      </c>
      <c r="F36" s="146" t="e" vm="2">
        <f ca="1">_xlfn.XLOOKUP(B36,'Cashflow Working'!$3:$3,'Cashflow Working'!$4:$4,VALUE("0"),0,1)</f>
        <v>#NAME?</v>
      </c>
      <c r="G36" s="199" t="e" vm="2">
        <f ca="1">_xlfn.XLOOKUP(B36,'Cashflow Working'!$C:$C,'Cashflow Working'!$D:$D,VALUE("0"),0,1)</f>
        <v>#NAME?</v>
      </c>
      <c r="H36" s="199"/>
      <c r="I36" s="20" t="e" vm="1">
        <f t="shared" ca="1" si="0"/>
        <v>#NAME?</v>
      </c>
    </row>
    <row r="37" spans="1:9" x14ac:dyDescent="0.45">
      <c r="A37">
        <v>11310010</v>
      </c>
      <c r="B37" t="s">
        <v>1110</v>
      </c>
      <c r="C37" s="203" t="e" vm="2">
        <f ca="1">_xlfn.XLOOKUP(B37,'Consol (TB)'!C:C,'Consol (TB)'!F:F,VALUE("0"),0,1)</f>
        <v>#NAME?</v>
      </c>
      <c r="D37" s="203" t="e" vm="2">
        <f ca="1">_xlfn.XLOOKUP(B37,'Consol (TB)'!C:C,'Consol (TB)'!H:H,VALUE("0"),0,1)</f>
        <v>#NAME?</v>
      </c>
      <c r="E37" t="s">
        <v>1660</v>
      </c>
      <c r="F37" s="146" t="e" vm="2">
        <f ca="1">_xlfn.XLOOKUP(B37,'Cashflow Working'!$3:$3,'Cashflow Working'!$4:$4,VALUE("0"),0,1)</f>
        <v>#NAME?</v>
      </c>
      <c r="G37" s="199" t="e" vm="2">
        <f ca="1">_xlfn.XLOOKUP(B37,'Cashflow Working'!$C:$C,'Cashflow Working'!$D:$D,VALUE("0"),0,1)</f>
        <v>#NAME?</v>
      </c>
      <c r="H37" s="199"/>
      <c r="I37" s="20" t="e" vm="1">
        <f t="shared" ca="1" si="0"/>
        <v>#NAME?</v>
      </c>
    </row>
    <row r="38" spans="1:9" x14ac:dyDescent="0.45">
      <c r="A38">
        <v>11310020</v>
      </c>
      <c r="B38" t="s">
        <v>1111</v>
      </c>
      <c r="C38" s="203" t="e" vm="2">
        <f ca="1">_xlfn.XLOOKUP(B38,'Consol (TB)'!C:C,'Consol (TB)'!F:F,VALUE("0"),0,1)</f>
        <v>#NAME?</v>
      </c>
      <c r="D38" s="203" t="e" vm="2">
        <f ca="1">_xlfn.XLOOKUP(B38,'Consol (TB)'!C:C,'Consol (TB)'!H:H,VALUE("0"),0,1)</f>
        <v>#NAME?</v>
      </c>
      <c r="E38" t="s">
        <v>1660</v>
      </c>
      <c r="F38" s="146" t="e" vm="2">
        <f ca="1">_xlfn.XLOOKUP(B38,'Cashflow Working'!$3:$3,'Cashflow Working'!$4:$4,VALUE("0"),0,1)</f>
        <v>#NAME?</v>
      </c>
      <c r="G38" s="199" t="e" vm="2">
        <f ca="1">_xlfn.XLOOKUP(B38,'Cashflow Working'!$C:$C,'Cashflow Working'!$D:$D,VALUE("0"),0,1)</f>
        <v>#NAME?</v>
      </c>
      <c r="H38" s="199"/>
      <c r="I38" s="20" t="e" vm="1">
        <f t="shared" ca="1" si="0"/>
        <v>#NAME?</v>
      </c>
    </row>
    <row r="39" spans="1:9" x14ac:dyDescent="0.45">
      <c r="A39">
        <v>11310030</v>
      </c>
      <c r="B39" t="s">
        <v>1112</v>
      </c>
      <c r="C39" s="203" t="e" vm="2">
        <f ca="1">_xlfn.XLOOKUP(B39,'Consol (TB)'!C:C,'Consol (TB)'!F:F,VALUE("0"),0,1)</f>
        <v>#NAME?</v>
      </c>
      <c r="D39" s="203" t="e" vm="2">
        <f ca="1">_xlfn.XLOOKUP(B39,'Consol (TB)'!C:C,'Consol (TB)'!H:H,VALUE("0"),0,1)</f>
        <v>#NAME?</v>
      </c>
      <c r="E39" t="s">
        <v>1660</v>
      </c>
      <c r="F39" s="146" t="e" vm="2">
        <f ca="1">_xlfn.XLOOKUP(B39,'Cashflow Working'!$3:$3,'Cashflow Working'!$4:$4,VALUE("0"),0,1)</f>
        <v>#NAME?</v>
      </c>
      <c r="G39" s="199" t="e" vm="2">
        <f ca="1">_xlfn.XLOOKUP(B39,'Cashflow Working'!$C:$C,'Cashflow Working'!$D:$D,VALUE("0"),0,1)</f>
        <v>#NAME?</v>
      </c>
      <c r="H39" s="199"/>
      <c r="I39" s="20" t="e" vm="1">
        <f t="shared" ca="1" si="0"/>
        <v>#NAME?</v>
      </c>
    </row>
    <row r="40" spans="1:9" x14ac:dyDescent="0.45">
      <c r="A40">
        <v>11320010</v>
      </c>
      <c r="B40" t="s">
        <v>1113</v>
      </c>
      <c r="C40" s="203" t="e" vm="2">
        <f ca="1">_xlfn.XLOOKUP(B40,'Consol (TB)'!C:C,'Consol (TB)'!F:F,VALUE("0"),0,1)</f>
        <v>#NAME?</v>
      </c>
      <c r="D40" s="203" t="e" vm="2">
        <f ca="1">_xlfn.XLOOKUP(B40,'Consol (TB)'!C:C,'Consol (TB)'!H:H,VALUE("0"),0,1)</f>
        <v>#NAME?</v>
      </c>
      <c r="E40" t="s">
        <v>1660</v>
      </c>
      <c r="F40" s="146" t="e" vm="2">
        <f ca="1">_xlfn.XLOOKUP(B40,'Cashflow Working'!$3:$3,'Cashflow Working'!$4:$4,VALUE("0"),0,1)</f>
        <v>#NAME?</v>
      </c>
      <c r="G40" s="199" t="e" vm="2">
        <f ca="1">_xlfn.XLOOKUP(B40,'Cashflow Working'!$C:$C,'Cashflow Working'!$D:$D,VALUE("0"),0,1)</f>
        <v>#NAME?</v>
      </c>
      <c r="H40" s="199"/>
      <c r="I40" s="20" t="e" vm="1">
        <f t="shared" ca="1" si="0"/>
        <v>#NAME?</v>
      </c>
    </row>
    <row r="41" spans="1:9" x14ac:dyDescent="0.45">
      <c r="A41">
        <v>11330010</v>
      </c>
      <c r="B41" t="s">
        <v>1114</v>
      </c>
      <c r="C41" s="203" t="e" vm="2">
        <f ca="1">_xlfn.XLOOKUP(B41,'Consol (TB)'!C:C,'Consol (TB)'!F:F,VALUE("0"),0,1)</f>
        <v>#NAME?</v>
      </c>
      <c r="D41" s="203" t="e" vm="2">
        <f ca="1">_xlfn.XLOOKUP(B41,'Consol (TB)'!C:C,'Consol (TB)'!H:H,VALUE("0"),0,1)</f>
        <v>#NAME?</v>
      </c>
      <c r="E41" t="s">
        <v>1660</v>
      </c>
      <c r="F41" s="146" t="e" vm="2">
        <f ca="1">_xlfn.XLOOKUP(B41,'Cashflow Working'!$3:$3,'Cashflow Working'!$4:$4,VALUE("0"),0,1)</f>
        <v>#NAME?</v>
      </c>
      <c r="G41" s="199" t="e" vm="2">
        <f ca="1">_xlfn.XLOOKUP(B41,'Cashflow Working'!$C:$C,'Cashflow Working'!$D:$D,VALUE("0"),0,1)</f>
        <v>#NAME?</v>
      </c>
      <c r="H41" s="199"/>
      <c r="I41" s="20" t="e" vm="1">
        <f t="shared" ca="1" si="0"/>
        <v>#NAME?</v>
      </c>
    </row>
    <row r="42" spans="1:9" x14ac:dyDescent="0.45">
      <c r="A42">
        <v>11340010</v>
      </c>
      <c r="B42" t="s">
        <v>1115</v>
      </c>
      <c r="C42" s="203" t="e" vm="2">
        <f ca="1">_xlfn.XLOOKUP(B42,'Consol (TB)'!C:C,'Consol (TB)'!F:F,VALUE("0"),0,1)</f>
        <v>#NAME?</v>
      </c>
      <c r="D42" s="203" t="e" vm="2">
        <f ca="1">_xlfn.XLOOKUP(B42,'Consol (TB)'!C:C,'Consol (TB)'!H:H,VALUE("0"),0,1)</f>
        <v>#NAME?</v>
      </c>
      <c r="E42" t="s">
        <v>1660</v>
      </c>
      <c r="F42" s="146" t="e" vm="2">
        <f ca="1">_xlfn.XLOOKUP(B42,'Cashflow Working'!$3:$3,'Cashflow Working'!$4:$4,VALUE("0"),0,1)</f>
        <v>#NAME?</v>
      </c>
      <c r="G42" s="199" t="e" vm="2">
        <f ca="1">_xlfn.XLOOKUP(B42,'Cashflow Working'!$C:$C,'Cashflow Working'!$D:$D,VALUE("0"),0,1)</f>
        <v>#NAME?</v>
      </c>
      <c r="H42" s="199"/>
      <c r="I42" s="20" t="e" vm="1">
        <f t="shared" ca="1" si="0"/>
        <v>#NAME?</v>
      </c>
    </row>
    <row r="43" spans="1:9" x14ac:dyDescent="0.45">
      <c r="A43">
        <v>11350030</v>
      </c>
      <c r="B43" t="s">
        <v>1116</v>
      </c>
      <c r="C43" s="203" t="e" vm="2">
        <f ca="1">_xlfn.XLOOKUP(B43,'Consol (TB)'!C:C,'Consol (TB)'!F:F,VALUE("0"),0,1)</f>
        <v>#NAME?</v>
      </c>
      <c r="D43" s="203" t="e" vm="2">
        <f ca="1">_xlfn.XLOOKUP(B43,'Consol (TB)'!C:C,'Consol (TB)'!H:H,VALUE("0"),0,1)</f>
        <v>#NAME?</v>
      </c>
      <c r="E43" t="s">
        <v>1660</v>
      </c>
      <c r="F43" s="146" t="e" vm="2">
        <f ca="1">_xlfn.XLOOKUP(B43,'Cashflow Working'!$3:$3,'Cashflow Working'!$4:$4,VALUE("0"),0,1)</f>
        <v>#NAME?</v>
      </c>
      <c r="G43" s="199" t="e" vm="2">
        <f ca="1">_xlfn.XLOOKUP(B43,'Cashflow Working'!$C:$C,'Cashflow Working'!$D:$D,VALUE("0"),0,1)</f>
        <v>#NAME?</v>
      </c>
      <c r="H43" s="199"/>
      <c r="I43" s="20" t="e" vm="1">
        <f t="shared" ca="1" si="0"/>
        <v>#NAME?</v>
      </c>
    </row>
    <row r="44" spans="1:9" x14ac:dyDescent="0.45">
      <c r="B44" t="s">
        <v>1392</v>
      </c>
      <c r="C44" s="203" t="e" vm="2">
        <f ca="1">_xlfn.XLOOKUP(B44,'Consol (TB)'!C:C,'Consol (TB)'!F:F,VALUE("0"),0,1)</f>
        <v>#NAME?</v>
      </c>
      <c r="D44" s="203" t="e" vm="2">
        <f ca="1">_xlfn.XLOOKUP(B44,'Consol (TB)'!C:C,'Consol (TB)'!H:H,VALUE("0"),0,1)</f>
        <v>#NAME?</v>
      </c>
      <c r="E44" t="s">
        <v>1660</v>
      </c>
      <c r="F44" s="146" t="e" vm="2">
        <f ca="1">_xlfn.XLOOKUP(B44,'Cashflow Working'!$3:$3,'Cashflow Working'!$4:$4,VALUE("0"),0,1)</f>
        <v>#NAME?</v>
      </c>
      <c r="G44" s="199" t="e" vm="2">
        <f ca="1">_xlfn.XLOOKUP(B44,'Cashflow Working'!$C:$C,'Cashflow Working'!$D:$D,VALUE("0"),0,1)</f>
        <v>#NAME?</v>
      </c>
      <c r="H44" s="199"/>
      <c r="I44" s="20" t="e" vm="1">
        <f t="shared" ca="1" si="0"/>
        <v>#NAME?</v>
      </c>
    </row>
    <row r="45" spans="1:9" x14ac:dyDescent="0.45">
      <c r="A45">
        <v>11500010</v>
      </c>
      <c r="B45" t="s">
        <v>1117</v>
      </c>
      <c r="C45" s="203" t="e" vm="2">
        <f ca="1">_xlfn.XLOOKUP(B45,'Consol (TB)'!C:C,'Consol (TB)'!F:F,VALUE("0"),0,1)</f>
        <v>#NAME?</v>
      </c>
      <c r="D45" s="203" t="e" vm="2">
        <f ca="1">_xlfn.XLOOKUP(B45,'Consol (TB)'!C:C,'Consol (TB)'!H:H,VALUE("0"),0,1)</f>
        <v>#NAME?</v>
      </c>
      <c r="E45" t="s">
        <v>1734</v>
      </c>
      <c r="F45" s="146" t="e" vm="2">
        <f ca="1">_xlfn.XLOOKUP(B45,'Cashflow Working'!$3:$3,'Cashflow Working'!$4:$4,VALUE("0"),0,1)</f>
        <v>#NAME?</v>
      </c>
      <c r="G45" s="199" t="e" vm="2">
        <f ca="1">_xlfn.XLOOKUP(B45,'Cashflow Working'!$C:$C,'Cashflow Working'!$D:$D,VALUE("0"),0,1)</f>
        <v>#NAME?</v>
      </c>
      <c r="H45" s="199"/>
      <c r="I45" s="20" t="e" vm="1">
        <f t="shared" ca="1" si="0"/>
        <v>#NAME?</v>
      </c>
    </row>
    <row r="46" spans="1:9" x14ac:dyDescent="0.45">
      <c r="B46" t="s">
        <v>1422</v>
      </c>
      <c r="C46" s="203" t="e" vm="2">
        <f ca="1">_xlfn.XLOOKUP(B46,'Consol (TB)'!C:C,'Consol (TB)'!F:F,VALUE("0"),0,1)</f>
        <v>#NAME?</v>
      </c>
      <c r="D46" s="203" t="e" vm="2">
        <f ca="1">_xlfn.XLOOKUP(B46,'Consol (TB)'!C:C,'Consol (TB)'!H:H,VALUE("0"),0,1)</f>
        <v>#NAME?</v>
      </c>
      <c r="E46" t="s">
        <v>1734</v>
      </c>
      <c r="F46" s="146" t="e" vm="2">
        <f ca="1">_xlfn.XLOOKUP(B46,'Cashflow Working'!$3:$3,'Cashflow Working'!$4:$4,VALUE("0"),0,1)</f>
        <v>#NAME?</v>
      </c>
      <c r="G46" s="199" t="e" vm="2">
        <f ca="1">_xlfn.XLOOKUP(B46,'Cashflow Working'!$C:$C,'Cashflow Working'!$D:$D,VALUE("0"),0,1)</f>
        <v>#NAME?</v>
      </c>
      <c r="H46" s="199"/>
      <c r="I46" s="20" t="e" vm="1">
        <f t="shared" ca="1" si="0"/>
        <v>#NAME?</v>
      </c>
    </row>
    <row r="47" spans="1:9" x14ac:dyDescent="0.45">
      <c r="A47">
        <v>11500030</v>
      </c>
      <c r="B47" t="s">
        <v>1556</v>
      </c>
      <c r="C47" s="203" t="e" vm="2">
        <f ca="1">_xlfn.XLOOKUP(B47,'Consol (TB)'!C:C,'Consol (TB)'!F:F,VALUE("0"),0,1)</f>
        <v>#NAME?</v>
      </c>
      <c r="D47" s="203" t="e" vm="2">
        <f ca="1">_xlfn.XLOOKUP(B47,'Consol (TB)'!C:C,'Consol (TB)'!H:H,VALUE("0"),0,1)</f>
        <v>#NAME?</v>
      </c>
      <c r="E47" t="s">
        <v>1734</v>
      </c>
      <c r="F47" s="146" t="e" vm="2">
        <f ca="1">_xlfn.XLOOKUP(B47,'Cashflow Working'!$3:$3,'Cashflow Working'!$4:$4,VALUE("0"),0,1)</f>
        <v>#NAME?</v>
      </c>
      <c r="G47" s="199" t="e" vm="2">
        <f ca="1">_xlfn.XLOOKUP(B47,'Cashflow Working'!$C:$C,'Cashflow Working'!$D:$D,VALUE("0"),0,1)</f>
        <v>#NAME?</v>
      </c>
      <c r="H47" s="199"/>
      <c r="I47" s="20" t="e" vm="1">
        <f t="shared" ca="1" si="0"/>
        <v>#NAME?</v>
      </c>
    </row>
    <row r="48" spans="1:9" x14ac:dyDescent="0.45">
      <c r="A48">
        <v>11500040</v>
      </c>
      <c r="B48" t="s">
        <v>1118</v>
      </c>
      <c r="C48" s="203" t="e" vm="2">
        <f ca="1">_xlfn.XLOOKUP(B48,'Consol (TB)'!C:C,'Consol (TB)'!F:F,VALUE("0"),0,1)</f>
        <v>#NAME?</v>
      </c>
      <c r="D48" s="203" t="e" vm="2">
        <f ca="1">_xlfn.XLOOKUP(B48,'Consol (TB)'!C:C,'Consol (TB)'!H:H,VALUE("0"),0,1)</f>
        <v>#NAME?</v>
      </c>
      <c r="E48" t="s">
        <v>1118</v>
      </c>
      <c r="F48" s="146" t="e" vm="2">
        <f ca="1">_xlfn.XLOOKUP(B48,'Cashflow Working'!$3:$3,'Cashflow Working'!$4:$4,VALUE("0"),0,1)</f>
        <v>#NAME?</v>
      </c>
      <c r="G48" s="199" t="e" vm="2">
        <f ca="1">_xlfn.XLOOKUP(B48,'Cashflow Working'!$C:$C,'Cashflow Working'!$D:$D,VALUE("0"),0,1)</f>
        <v>#NAME?</v>
      </c>
      <c r="H48" s="199"/>
      <c r="I48" s="20" t="e" vm="1">
        <f t="shared" ca="1" si="0"/>
        <v>#NAME?</v>
      </c>
    </row>
    <row r="49" spans="1:9" x14ac:dyDescent="0.45">
      <c r="B49" t="s">
        <v>1391</v>
      </c>
      <c r="C49" s="203" t="e" vm="2">
        <f ca="1">_xlfn.XLOOKUP(B49,'Consol (TB)'!C:C,'Consol (TB)'!F:F,VALUE("0"),0,1)</f>
        <v>#NAME?</v>
      </c>
      <c r="D49" s="203" t="e" vm="2">
        <f ca="1">_xlfn.XLOOKUP(B49,'Consol (TB)'!C:C,'Consol (TB)'!H:H,VALUE("0"),0,1)</f>
        <v>#NAME?</v>
      </c>
      <c r="E49" t="s">
        <v>1118</v>
      </c>
      <c r="F49" s="146" t="e" vm="2">
        <f ca="1">_xlfn.XLOOKUP(B49,'Cashflow Working'!$3:$3,'Cashflow Working'!$4:$4,VALUE("0"),0,1)</f>
        <v>#NAME?</v>
      </c>
      <c r="G49" s="199" t="e" vm="2">
        <f ca="1">_xlfn.XLOOKUP(B49,'Cashflow Working'!$C:$C,'Cashflow Working'!$D:$D,VALUE("0"),0,1)</f>
        <v>#NAME?</v>
      </c>
      <c r="H49" s="199"/>
      <c r="I49" s="20" t="e" vm="1">
        <f t="shared" ca="1" si="0"/>
        <v>#NAME?</v>
      </c>
    </row>
    <row r="50" spans="1:9" x14ac:dyDescent="0.45">
      <c r="A50">
        <v>11500045</v>
      </c>
      <c r="B50" t="s">
        <v>1119</v>
      </c>
      <c r="C50" s="203" t="e" vm="2">
        <f ca="1">_xlfn.XLOOKUP(B50,'Consol (TB)'!C:C,'Consol (TB)'!F:F,VALUE("0"),0,1)</f>
        <v>#NAME?</v>
      </c>
      <c r="D50" s="203" t="e" vm="2">
        <f ca="1">_xlfn.XLOOKUP(B50,'Consol (TB)'!C:C,'Consol (TB)'!H:H,VALUE("0"),0,1)</f>
        <v>#NAME?</v>
      </c>
      <c r="E50" t="s">
        <v>1735</v>
      </c>
      <c r="F50" s="146" t="e" vm="2">
        <f ca="1">_xlfn.XLOOKUP(B50,'Cashflow Working'!$3:$3,'Cashflow Working'!$4:$4,VALUE("0"),0,1)</f>
        <v>#NAME?</v>
      </c>
      <c r="G50" s="199" t="e" vm="2">
        <f ca="1">_xlfn.XLOOKUP(B50,'Cashflow Working'!$C:$C,'Cashflow Working'!$D:$D,VALUE("0"),0,1)</f>
        <v>#NAME?</v>
      </c>
      <c r="H50" s="199"/>
      <c r="I50" s="20" t="e" vm="1">
        <f t="shared" ca="1" si="0"/>
        <v>#NAME?</v>
      </c>
    </row>
    <row r="51" spans="1:9" x14ac:dyDescent="0.45">
      <c r="A51">
        <v>11500060</v>
      </c>
      <c r="B51" t="s">
        <v>1120</v>
      </c>
      <c r="C51" s="203" t="e" vm="2">
        <f ca="1">_xlfn.XLOOKUP(B51,'Consol (TB)'!C:C,'Consol (TB)'!F:F,VALUE("0"),0,1)</f>
        <v>#NAME?</v>
      </c>
      <c r="D51" s="203" t="e" vm="2">
        <f ca="1">_xlfn.XLOOKUP(B51,'Consol (TB)'!C:C,'Consol (TB)'!H:H,VALUE("0"),0,1)</f>
        <v>#NAME?</v>
      </c>
      <c r="E51" t="s">
        <v>1735</v>
      </c>
      <c r="F51" s="146" t="e" vm="2">
        <f ca="1">_xlfn.XLOOKUP(B51,'Cashflow Working'!$3:$3,'Cashflow Working'!$4:$4,VALUE("0"),0,1)</f>
        <v>#NAME?</v>
      </c>
      <c r="G51" s="199" t="e" vm="2">
        <f ca="1">_xlfn.XLOOKUP(B51,'Cashflow Working'!$C:$C,'Cashflow Working'!$D:$D,VALUE("0"),0,1)</f>
        <v>#NAME?</v>
      </c>
      <c r="H51" s="199"/>
      <c r="I51" s="20" t="e" vm="1">
        <f t="shared" ca="1" si="0"/>
        <v>#NAME?</v>
      </c>
    </row>
    <row r="52" spans="1:9" x14ac:dyDescent="0.45">
      <c r="A52">
        <v>11500066</v>
      </c>
      <c r="B52" t="s">
        <v>1121</v>
      </c>
      <c r="C52" s="203" t="e" vm="2">
        <f ca="1">_xlfn.XLOOKUP(B52,'Consol (TB)'!C:C,'Consol (TB)'!F:F,VALUE("0"),0,1)</f>
        <v>#NAME?</v>
      </c>
      <c r="D52" s="203" t="e" vm="2">
        <f ca="1">_xlfn.XLOOKUP(B52,'Consol (TB)'!C:C,'Consol (TB)'!H:H,VALUE("0"),0,1)</f>
        <v>#NAME?</v>
      </c>
      <c r="E52" t="s">
        <v>1735</v>
      </c>
      <c r="F52" s="146" t="e" vm="2">
        <f ca="1">_xlfn.XLOOKUP(B52,'Cashflow Working'!$3:$3,'Cashflow Working'!$4:$4,VALUE("0"),0,1)</f>
        <v>#NAME?</v>
      </c>
      <c r="G52" s="199" t="e" vm="2">
        <f ca="1">_xlfn.XLOOKUP(B52,'Cashflow Working'!$C:$C,'Cashflow Working'!$D:$D,VALUE("0"),0,1)</f>
        <v>#NAME?</v>
      </c>
      <c r="H52" s="199"/>
      <c r="I52" s="20" t="e" vm="1">
        <f t="shared" ca="1" si="0"/>
        <v>#NAME?</v>
      </c>
    </row>
    <row r="53" spans="1:9" x14ac:dyDescent="0.45">
      <c r="A53">
        <v>11500070</v>
      </c>
      <c r="B53" t="s">
        <v>1122</v>
      </c>
      <c r="C53" s="203" t="e" vm="2">
        <f ca="1">_xlfn.XLOOKUP(B53,'Consol (TB)'!C:C,'Consol (TB)'!F:F,VALUE("0"),0,1)</f>
        <v>#NAME?</v>
      </c>
      <c r="D53" s="203" t="e" vm="2">
        <f ca="1">_xlfn.XLOOKUP(B53,'Consol (TB)'!C:C,'Consol (TB)'!H:H,VALUE("0"),0,1)</f>
        <v>#NAME?</v>
      </c>
      <c r="E53" t="s">
        <v>1735</v>
      </c>
      <c r="F53" s="146" t="e" vm="2">
        <f ca="1">_xlfn.XLOOKUP(B53,'Cashflow Working'!$3:$3,'Cashflow Working'!$4:$4,VALUE("0"),0,1)</f>
        <v>#NAME?</v>
      </c>
      <c r="G53" s="199" t="e" vm="2">
        <f ca="1">_xlfn.XLOOKUP(B53,'Cashflow Working'!$C:$C,'Cashflow Working'!$D:$D,VALUE("0"),0,1)</f>
        <v>#NAME?</v>
      </c>
      <c r="H53" s="199"/>
      <c r="I53" s="20" t="e" vm="1">
        <f t="shared" ca="1" si="0"/>
        <v>#NAME?</v>
      </c>
    </row>
    <row r="54" spans="1:9" x14ac:dyDescent="0.45">
      <c r="B54" t="s">
        <v>1390</v>
      </c>
      <c r="C54" s="203" t="e" vm="2">
        <f ca="1">_xlfn.XLOOKUP(B54,'Consol (TB)'!C:C,'Consol (TB)'!F:F,VALUE("0"),0,1)</f>
        <v>#NAME?</v>
      </c>
      <c r="D54" s="203" t="e" vm="2">
        <f ca="1">_xlfn.XLOOKUP(B54,'Consol (TB)'!C:C,'Consol (TB)'!H:H,VALUE("0"),0,1)</f>
        <v>#NAME?</v>
      </c>
      <c r="E54" t="s">
        <v>1735</v>
      </c>
      <c r="F54" s="146" t="e" vm="2">
        <f ca="1">_xlfn.XLOOKUP(B54,'Cashflow Working'!$3:$3,'Cashflow Working'!$4:$4,VALUE("0"),0,1)</f>
        <v>#NAME?</v>
      </c>
      <c r="G54" s="199" t="e" vm="2">
        <f ca="1">_xlfn.XLOOKUP(B54,'Cashflow Working'!$C:$C,'Cashflow Working'!$D:$D,VALUE("0"),0,1)</f>
        <v>#NAME?</v>
      </c>
      <c r="H54" s="199"/>
      <c r="I54" s="20" t="e" vm="1">
        <f t="shared" ca="1" si="0"/>
        <v>#NAME?</v>
      </c>
    </row>
    <row r="55" spans="1:9" x14ac:dyDescent="0.45">
      <c r="A55">
        <v>11500080</v>
      </c>
      <c r="B55" t="s">
        <v>1123</v>
      </c>
      <c r="C55" s="203" t="e" vm="2">
        <f ca="1">_xlfn.XLOOKUP(B55,'Consol (TB)'!C:C,'Consol (TB)'!F:F,VALUE("0"),0,1)</f>
        <v>#NAME?</v>
      </c>
      <c r="D55" s="203" t="e" vm="2">
        <f ca="1">_xlfn.XLOOKUP(B55,'Consol (TB)'!C:C,'Consol (TB)'!H:H,VALUE("0"),0,1)</f>
        <v>#NAME?</v>
      </c>
      <c r="E55" t="s">
        <v>1734</v>
      </c>
      <c r="F55" s="146" t="e" vm="2">
        <f ca="1">_xlfn.XLOOKUP(B55,'Cashflow Working'!$3:$3,'Cashflow Working'!$4:$4,VALUE("0"),0,1)</f>
        <v>#NAME?</v>
      </c>
      <c r="G55" s="199" t="e" vm="2">
        <f ca="1">_xlfn.XLOOKUP(B55,'Cashflow Working'!$C:$C,'Cashflow Working'!$D:$D,VALUE("0"),0,1)</f>
        <v>#NAME?</v>
      </c>
      <c r="H55" s="199"/>
      <c r="I55" s="20" t="e" vm="1">
        <f t="shared" ca="1" si="0"/>
        <v>#NAME?</v>
      </c>
    </row>
    <row r="56" spans="1:9" x14ac:dyDescent="0.45">
      <c r="A56">
        <v>11500090</v>
      </c>
      <c r="B56" t="s">
        <v>1124</v>
      </c>
      <c r="C56" s="203" t="e" vm="2">
        <f ca="1">_xlfn.XLOOKUP(B56,'Consol (TB)'!C:C,'Consol (TB)'!F:F,VALUE("0"),0,1)</f>
        <v>#NAME?</v>
      </c>
      <c r="D56" s="203" t="e" vm="2">
        <f ca="1">_xlfn.XLOOKUP(B56,'Consol (TB)'!C:C,'Consol (TB)'!H:H,VALUE("0"),0,1)</f>
        <v>#NAME?</v>
      </c>
      <c r="E56" t="s">
        <v>1734</v>
      </c>
      <c r="F56" s="146" t="e" vm="2">
        <f ca="1">_xlfn.XLOOKUP(B56,'Cashflow Working'!$3:$3,'Cashflow Working'!$4:$4,VALUE("0"),0,1)</f>
        <v>#NAME?</v>
      </c>
      <c r="G56" s="199" t="e" vm="2">
        <f ca="1">_xlfn.XLOOKUP(B56,'Cashflow Working'!$C:$C,'Cashflow Working'!$D:$D,VALUE("0"),0,1)</f>
        <v>#NAME?</v>
      </c>
      <c r="H56" s="199"/>
      <c r="I56" s="20" t="e" vm="1">
        <f t="shared" ca="1" si="0"/>
        <v>#NAME?</v>
      </c>
    </row>
    <row r="57" spans="1:9" x14ac:dyDescent="0.45">
      <c r="B57" t="s">
        <v>1420</v>
      </c>
      <c r="C57" s="203" t="e" vm="2">
        <f ca="1">_xlfn.XLOOKUP(B57,'Consol (TB)'!C:C,'Consol (TB)'!F:F,VALUE("0"),0,1)</f>
        <v>#NAME?</v>
      </c>
      <c r="D57" s="203" t="e" vm="2">
        <f ca="1">_xlfn.XLOOKUP(B57,'Consol (TB)'!C:C,'Consol (TB)'!H:H,VALUE("0"),0,1)</f>
        <v>#NAME?</v>
      </c>
      <c r="E57" t="s">
        <v>1734</v>
      </c>
      <c r="F57" s="146" t="e" vm="2">
        <f ca="1">_xlfn.XLOOKUP(B57,'Cashflow Working'!$3:$3,'Cashflow Working'!$4:$4,VALUE("0"),0,1)</f>
        <v>#NAME?</v>
      </c>
      <c r="G57" s="199" t="e" vm="2">
        <f ca="1">_xlfn.XLOOKUP(B57,'Cashflow Working'!$C:$C,'Cashflow Working'!$D:$D,VALUE("0"),0,1)</f>
        <v>#NAME?</v>
      </c>
      <c r="H57" s="199"/>
      <c r="I57" s="20" t="e" vm="1">
        <f t="shared" ca="1" si="0"/>
        <v>#NAME?</v>
      </c>
    </row>
    <row r="58" spans="1:9" x14ac:dyDescent="0.45">
      <c r="A58">
        <v>12200010</v>
      </c>
      <c r="B58" t="s">
        <v>1125</v>
      </c>
      <c r="C58" s="203" t="e" vm="2">
        <f ca="1">_xlfn.XLOOKUP(B58,'Consol (TB)'!C:C,'Consol (TB)'!F:F,VALUE("0"),0,1)</f>
        <v>#NAME?</v>
      </c>
      <c r="D58" s="203" t="e" vm="2">
        <f ca="1">_xlfn.XLOOKUP(B58,'Consol (TB)'!C:C,'Consol (TB)'!H:H,VALUE("0"),0,1)</f>
        <v>#NAME?</v>
      </c>
      <c r="F58" s="146" t="e" vm="2">
        <f ca="1">_xlfn.XLOOKUP(B58,'Cashflow Working'!$3:$3,'Cashflow Working'!$4:$4,VALUE("0"),0,1)</f>
        <v>#NAME?</v>
      </c>
      <c r="G58" s="199" t="e" vm="2">
        <f ca="1">_xlfn.XLOOKUP(B58,'Cashflow Working'!$C:$C,'Cashflow Working'!$D:$D,VALUE("0"),0,1)</f>
        <v>#NAME?</v>
      </c>
      <c r="H58" s="199"/>
      <c r="I58" s="20" t="e" vm="1">
        <f t="shared" ca="1" si="0"/>
        <v>#NAME?</v>
      </c>
    </row>
    <row r="59" spans="1:9" x14ac:dyDescent="0.45">
      <c r="A59">
        <v>12500010</v>
      </c>
      <c r="B59" t="s">
        <v>1126</v>
      </c>
      <c r="C59" s="203" t="e" vm="2">
        <f ca="1">_xlfn.XLOOKUP(B59,'Consol (TB)'!C:C,'Consol (TB)'!F:F,VALUE("0"),0,1)</f>
        <v>#NAME?</v>
      </c>
      <c r="D59" s="203" t="e" vm="2">
        <f ca="1">_xlfn.XLOOKUP(B59,'Consol (TB)'!C:C,'Consol (TB)'!H:H,VALUE("0"),0,1)</f>
        <v>#NAME?</v>
      </c>
      <c r="E59" t="s">
        <v>1743</v>
      </c>
      <c r="F59" s="146" t="e" vm="2">
        <f ca="1">_xlfn.XLOOKUP(B59,'Cashflow Working'!$3:$3,'Cashflow Working'!$4:$4,VALUE("0"),0,1)</f>
        <v>#NAME?</v>
      </c>
      <c r="G59" s="199" t="e" vm="2">
        <f ca="1">_xlfn.XLOOKUP(B59,'Cashflow Working'!$C:$C,'Cashflow Working'!$D:$D,VALUE("0"),0,1)</f>
        <v>#NAME?</v>
      </c>
      <c r="H59" s="199"/>
      <c r="I59" s="20" t="e" vm="1">
        <f t="shared" ca="1" si="0"/>
        <v>#NAME?</v>
      </c>
    </row>
    <row r="60" spans="1:9" x14ac:dyDescent="0.45">
      <c r="A60">
        <v>12500050</v>
      </c>
      <c r="B60" t="s">
        <v>1127</v>
      </c>
      <c r="C60" s="203" t="e" vm="2">
        <f ca="1">_xlfn.XLOOKUP(B60,'Consol (TB)'!C:C,'Consol (TB)'!F:F,VALUE("0"),0,1)</f>
        <v>#NAME?</v>
      </c>
      <c r="D60" s="203" t="e" vm="2">
        <f ca="1">_xlfn.XLOOKUP(B60,'Consol (TB)'!C:C,'Consol (TB)'!H:H,VALUE("0"),0,1)</f>
        <v>#NAME?</v>
      </c>
      <c r="E60" t="s">
        <v>1743</v>
      </c>
      <c r="F60" s="146" t="e" vm="2">
        <f ca="1">_xlfn.XLOOKUP(B60,'Cashflow Working'!$3:$3,'Cashflow Working'!$4:$4,VALUE("0"),0,1)</f>
        <v>#NAME?</v>
      </c>
      <c r="G60" s="199" t="e" vm="2">
        <f ca="1">_xlfn.XLOOKUP(B60,'Cashflow Working'!$C:$C,'Cashflow Working'!$D:$D,VALUE("0"),0,1)</f>
        <v>#NAME?</v>
      </c>
      <c r="H60" s="199"/>
      <c r="I60" s="20" t="e" vm="1">
        <f t="shared" ca="1" si="0"/>
        <v>#NAME?</v>
      </c>
    </row>
    <row r="61" spans="1:9" x14ac:dyDescent="0.45">
      <c r="A61">
        <v>12500060</v>
      </c>
      <c r="B61" t="s">
        <v>1128</v>
      </c>
      <c r="C61" s="203" t="e" vm="2">
        <f ca="1">_xlfn.XLOOKUP(B61,'Consol (TB)'!C:C,'Consol (TB)'!F:F,VALUE("0"),0,1)</f>
        <v>#NAME?</v>
      </c>
      <c r="D61" s="203" t="e" vm="2">
        <f ca="1">_xlfn.XLOOKUP(B61,'Consol (TB)'!C:C,'Consol (TB)'!H:H,VALUE("0"),0,1)</f>
        <v>#NAME?</v>
      </c>
      <c r="E61" t="s">
        <v>1680</v>
      </c>
      <c r="F61" s="146" t="e" vm="2">
        <f ca="1">_xlfn.XLOOKUP(B61,'Cashflow Working'!$3:$3,'Cashflow Working'!$4:$4,VALUE("0"),0,1)</f>
        <v>#NAME?</v>
      </c>
      <c r="G61" s="199" t="e" vm="2">
        <f ca="1">_xlfn.XLOOKUP(B61,'Cashflow Working'!$C:$C,'Cashflow Working'!$D:$D,VALUE("0"),0,1)</f>
        <v>#NAME?</v>
      </c>
      <c r="H61" s="199"/>
      <c r="I61" s="20" t="e" vm="1">
        <f t="shared" ca="1" si="0"/>
        <v>#NAME?</v>
      </c>
    </row>
    <row r="62" spans="1:9" x14ac:dyDescent="0.45">
      <c r="A62">
        <v>12500070</v>
      </c>
      <c r="B62" t="s">
        <v>1129</v>
      </c>
      <c r="C62" s="203" t="e" vm="2">
        <f ca="1">_xlfn.XLOOKUP(B62,'Consol (TB)'!C:C,'Consol (TB)'!F:F,VALUE("0"),0,1)</f>
        <v>#NAME?</v>
      </c>
      <c r="D62" s="203" t="e" vm="2">
        <f ca="1">_xlfn.XLOOKUP(B62,'Consol (TB)'!C:C,'Consol (TB)'!H:H,VALUE("0"),0,1)</f>
        <v>#NAME?</v>
      </c>
      <c r="E62" t="s">
        <v>1743</v>
      </c>
      <c r="F62" s="146" t="e" vm="2">
        <f ca="1">_xlfn.XLOOKUP(B62,'Cashflow Working'!$3:$3,'Cashflow Working'!$4:$4,VALUE("0"),0,1)</f>
        <v>#NAME?</v>
      </c>
      <c r="G62" s="199" t="e" vm="2">
        <f ca="1">_xlfn.XLOOKUP(B62,'Cashflow Working'!$C:$C,'Cashflow Working'!$D:$D,VALUE("0"),0,1)</f>
        <v>#NAME?</v>
      </c>
      <c r="H62" s="199"/>
      <c r="I62" s="20" t="e" vm="1">
        <f t="shared" ca="1" si="0"/>
        <v>#NAME?</v>
      </c>
    </row>
    <row r="63" spans="1:9" x14ac:dyDescent="0.45">
      <c r="A63">
        <v>12500080</v>
      </c>
      <c r="B63" t="s">
        <v>1130</v>
      </c>
      <c r="C63" s="203" t="e" vm="2">
        <f ca="1">_xlfn.XLOOKUP(B63,'Consol (TB)'!C:C,'Consol (TB)'!F:F,VALUE("0"),0,1)</f>
        <v>#NAME?</v>
      </c>
      <c r="D63" s="203" t="e" vm="2">
        <f ca="1">_xlfn.XLOOKUP(B63,'Consol (TB)'!C:C,'Consol (TB)'!H:H,VALUE("0"),0,1)</f>
        <v>#NAME?</v>
      </c>
      <c r="E63" t="s">
        <v>1680</v>
      </c>
      <c r="F63" s="146" t="e" vm="2">
        <f ca="1">_xlfn.XLOOKUP(B63,'Cashflow Working'!$3:$3,'Cashflow Working'!$4:$4,VALUE("0"),0,1)</f>
        <v>#NAME?</v>
      </c>
      <c r="G63" s="199" t="e" vm="2">
        <f ca="1">_xlfn.XLOOKUP(B63,'Cashflow Working'!$C:$C,'Cashflow Working'!$D:$D,VALUE("0"),0,1)</f>
        <v>#NAME?</v>
      </c>
      <c r="H63" s="199"/>
      <c r="I63" s="20" t="e" vm="1">
        <f t="shared" ca="1" si="0"/>
        <v>#NAME?</v>
      </c>
    </row>
    <row r="64" spans="1:9" x14ac:dyDescent="0.45">
      <c r="A64">
        <v>12500090</v>
      </c>
      <c r="B64" t="s">
        <v>1131</v>
      </c>
      <c r="C64" s="203" t="e" vm="2">
        <f ca="1">_xlfn.XLOOKUP(B64,'Consol (TB)'!C:C,'Consol (TB)'!F:F,VALUE("0"),0,1)</f>
        <v>#NAME?</v>
      </c>
      <c r="D64" s="203" t="e" vm="2">
        <f ca="1">_xlfn.XLOOKUP(B64,'Consol (TB)'!C:C,'Consol (TB)'!H:H,VALUE("0"),0,1)</f>
        <v>#NAME?</v>
      </c>
      <c r="E64" t="s">
        <v>1743</v>
      </c>
      <c r="F64" s="146" t="e" vm="2">
        <f ca="1">_xlfn.XLOOKUP(B64,'Cashflow Working'!$3:$3,'Cashflow Working'!$4:$4,VALUE("0"),0,1)</f>
        <v>#NAME?</v>
      </c>
      <c r="G64" s="199" t="e" vm="2">
        <f ca="1">_xlfn.XLOOKUP(B64,'Cashflow Working'!$C:$C,'Cashflow Working'!$D:$D,VALUE("0"),0,1)</f>
        <v>#NAME?</v>
      </c>
      <c r="H64" s="199"/>
      <c r="I64" s="20" t="e" vm="1">
        <f t="shared" ca="1" si="0"/>
        <v>#NAME?</v>
      </c>
    </row>
    <row r="65" spans="1:9" x14ac:dyDescent="0.45">
      <c r="A65">
        <v>12500100</v>
      </c>
      <c r="B65" t="s">
        <v>1132</v>
      </c>
      <c r="C65" s="203" t="e" vm="2">
        <f ca="1">_xlfn.XLOOKUP(B65,'Consol (TB)'!C:C,'Consol (TB)'!F:F,VALUE("0"),0,1)</f>
        <v>#NAME?</v>
      </c>
      <c r="D65" s="203" t="e" vm="2">
        <f ca="1">_xlfn.XLOOKUP(B65,'Consol (TB)'!C:C,'Consol (TB)'!H:H,VALUE("0"),0,1)</f>
        <v>#NAME?</v>
      </c>
      <c r="E65" t="s">
        <v>1680</v>
      </c>
      <c r="F65" s="146" t="e" vm="2">
        <f ca="1">_xlfn.XLOOKUP(B65,'Cashflow Working'!$3:$3,'Cashflow Working'!$4:$4,VALUE("0"),0,1)</f>
        <v>#NAME?</v>
      </c>
      <c r="G65" s="199" t="e" vm="2">
        <f ca="1">_xlfn.XLOOKUP(B65,'Cashflow Working'!$C:$C,'Cashflow Working'!$D:$D,VALUE("0"),0,1)</f>
        <v>#NAME?</v>
      </c>
      <c r="H65" s="199"/>
      <c r="I65" s="20" t="e" vm="1">
        <f t="shared" ca="1" si="0"/>
        <v>#NAME?</v>
      </c>
    </row>
    <row r="66" spans="1:9" x14ac:dyDescent="0.45">
      <c r="A66">
        <v>12500110</v>
      </c>
      <c r="B66" t="s">
        <v>1133</v>
      </c>
      <c r="C66" s="203" t="e" vm="2">
        <f ca="1">_xlfn.XLOOKUP(B66,'Consol (TB)'!C:C,'Consol (TB)'!F:F,VALUE("0"),0,1)</f>
        <v>#NAME?</v>
      </c>
      <c r="D66" s="203" t="e" vm="2">
        <f ca="1">_xlfn.XLOOKUP(B66,'Consol (TB)'!C:C,'Consol (TB)'!H:H,VALUE("0"),0,1)</f>
        <v>#NAME?</v>
      </c>
      <c r="E66" t="s">
        <v>1743</v>
      </c>
      <c r="F66" s="146" t="e" vm="2">
        <f ca="1">_xlfn.XLOOKUP(B66,'Cashflow Working'!$3:$3,'Cashflow Working'!$4:$4,VALUE("0"),0,1)</f>
        <v>#NAME?</v>
      </c>
      <c r="G66" s="199" t="e" vm="2">
        <f ca="1">_xlfn.XLOOKUP(B66,'Cashflow Working'!$C:$C,'Cashflow Working'!$D:$D,VALUE("0"),0,1)</f>
        <v>#NAME?</v>
      </c>
      <c r="H66" s="199"/>
      <c r="I66" s="20" t="e" vm="1">
        <f t="shared" ca="1" si="0"/>
        <v>#NAME?</v>
      </c>
    </row>
    <row r="67" spans="1:9" x14ac:dyDescent="0.45">
      <c r="A67">
        <v>12500120</v>
      </c>
      <c r="B67" t="s">
        <v>1134</v>
      </c>
      <c r="C67" s="203" t="e" vm="2">
        <f ca="1">_xlfn.XLOOKUP(B67,'Consol (TB)'!C:C,'Consol (TB)'!F:F,VALUE("0"),0,1)</f>
        <v>#NAME?</v>
      </c>
      <c r="D67" s="203" t="e" vm="2">
        <f ca="1">_xlfn.XLOOKUP(B67,'Consol (TB)'!C:C,'Consol (TB)'!H:H,VALUE("0"),0,1)</f>
        <v>#NAME?</v>
      </c>
      <c r="E67" t="s">
        <v>1680</v>
      </c>
      <c r="F67" s="146" t="e" vm="2">
        <f ca="1">_xlfn.XLOOKUP(B67,'Cashflow Working'!$3:$3,'Cashflow Working'!$4:$4,VALUE("0"),0,1)</f>
        <v>#NAME?</v>
      </c>
      <c r="G67" s="199" t="e" vm="2">
        <f ca="1">_xlfn.XLOOKUP(B67,'Cashflow Working'!$C:$C,'Cashflow Working'!$D:$D,VALUE("0"),0,1)</f>
        <v>#NAME?</v>
      </c>
      <c r="H67" s="199"/>
      <c r="I67" s="20" t="e" vm="1">
        <f t="shared" ca="1" si="0"/>
        <v>#NAME?</v>
      </c>
    </row>
    <row r="68" spans="1:9" x14ac:dyDescent="0.45">
      <c r="A68">
        <v>12500130</v>
      </c>
      <c r="B68" t="s">
        <v>1135</v>
      </c>
      <c r="C68" s="203" t="e" vm="2">
        <f ca="1">_xlfn.XLOOKUP(B68,'Consol (TB)'!C:C,'Consol (TB)'!F:F,VALUE("0"),0,1)</f>
        <v>#NAME?</v>
      </c>
      <c r="D68" s="203" t="e" vm="2">
        <f ca="1">_xlfn.XLOOKUP(B68,'Consol (TB)'!C:C,'Consol (TB)'!H:H,VALUE("0"),0,1)</f>
        <v>#NAME?</v>
      </c>
      <c r="E68" t="s">
        <v>1743</v>
      </c>
      <c r="F68" s="146" t="e" vm="2">
        <f ca="1">_xlfn.XLOOKUP(B68,'Cashflow Working'!$3:$3,'Cashflow Working'!$4:$4,VALUE("0"),0,1)</f>
        <v>#NAME?</v>
      </c>
      <c r="G68" s="199" t="e" vm="2">
        <f ca="1">_xlfn.XLOOKUP(B68,'Cashflow Working'!$C:$C,'Cashflow Working'!$D:$D,VALUE("0"),0,1)</f>
        <v>#NAME?</v>
      </c>
      <c r="H68" s="199"/>
      <c r="I68" s="20" t="e" vm="1">
        <f t="shared" ca="1" si="0"/>
        <v>#NAME?</v>
      </c>
    </row>
    <row r="69" spans="1:9" x14ac:dyDescent="0.45">
      <c r="A69">
        <v>12500140</v>
      </c>
      <c r="B69" t="s">
        <v>1136</v>
      </c>
      <c r="C69" s="203" t="e" vm="2">
        <f ca="1">_xlfn.XLOOKUP(B69,'Consol (TB)'!C:C,'Consol (TB)'!F:F,VALUE("0"),0,1)</f>
        <v>#NAME?</v>
      </c>
      <c r="D69" s="203" t="e" vm="2">
        <f ca="1">_xlfn.XLOOKUP(B69,'Consol (TB)'!C:C,'Consol (TB)'!H:H,VALUE("0"),0,1)</f>
        <v>#NAME?</v>
      </c>
      <c r="E69" t="s">
        <v>1680</v>
      </c>
      <c r="F69" s="146" t="e" vm="2">
        <f ca="1">_xlfn.XLOOKUP(B69,'Cashflow Working'!$3:$3,'Cashflow Working'!$4:$4,VALUE("0"),0,1)</f>
        <v>#NAME?</v>
      </c>
      <c r="G69" s="199" t="e" vm="2">
        <f ca="1">_xlfn.XLOOKUP(B69,'Cashflow Working'!$C:$C,'Cashflow Working'!$D:$D,VALUE("0"),0,1)</f>
        <v>#NAME?</v>
      </c>
      <c r="H69" s="199"/>
      <c r="I69" s="20" t="e" vm="1">
        <f t="shared" ca="1" si="0"/>
        <v>#NAME?</v>
      </c>
    </row>
    <row r="70" spans="1:9" x14ac:dyDescent="0.45">
      <c r="B70" t="s">
        <v>1398</v>
      </c>
      <c r="C70" s="203" t="e" vm="2">
        <f ca="1">_xlfn.XLOOKUP(B70,'Consol (TB)'!C:C,'Consol (TB)'!F:F,VALUE("0"),0,1)</f>
        <v>#NAME?</v>
      </c>
      <c r="D70" s="203" t="e" vm="2">
        <f ca="1">_xlfn.XLOOKUP(B70,'Consol (TB)'!C:C,'Consol (TB)'!H:H,VALUE("0"),0,1)</f>
        <v>#NAME?</v>
      </c>
      <c r="E70" t="s">
        <v>1743</v>
      </c>
      <c r="F70" s="146" t="e" vm="2">
        <f ca="1">_xlfn.XLOOKUP(B70,'Cashflow Working'!$3:$3,'Cashflow Working'!$4:$4,VALUE("0"),0,1)</f>
        <v>#NAME?</v>
      </c>
      <c r="G70" s="199" t="e" vm="2">
        <f ca="1">_xlfn.XLOOKUP(B70,'Cashflow Working'!$C:$C,'Cashflow Working'!$D:$D,VALUE("0"),0,1)</f>
        <v>#NAME?</v>
      </c>
      <c r="H70" s="199"/>
      <c r="I70" s="20" t="e" vm="1">
        <f t="shared" ref="I70:I123" ca="1" si="1">F70-G70+H70</f>
        <v>#NAME?</v>
      </c>
    </row>
    <row r="71" spans="1:9" x14ac:dyDescent="0.45">
      <c r="B71" t="s">
        <v>1399</v>
      </c>
      <c r="C71" s="203" t="e" vm="2">
        <f ca="1">_xlfn.XLOOKUP(B71,'Consol (TB)'!C:C,'Consol (TB)'!F:F,VALUE("0"),0,1)</f>
        <v>#NAME?</v>
      </c>
      <c r="D71" s="203" t="e" vm="2">
        <f ca="1">_xlfn.XLOOKUP(B71,'Consol (TB)'!C:C,'Consol (TB)'!H:H,VALUE("0"),0,1)</f>
        <v>#NAME?</v>
      </c>
      <c r="E71" t="s">
        <v>1680</v>
      </c>
      <c r="F71" s="146" t="e" vm="2">
        <f ca="1">_xlfn.XLOOKUP(B71,'Cashflow Working'!$3:$3,'Cashflow Working'!$4:$4,VALUE("0"),0,1)</f>
        <v>#NAME?</v>
      </c>
      <c r="G71" s="199" t="e" vm="2">
        <f ca="1">_xlfn.XLOOKUP(B71,'Cashflow Working'!$C:$C,'Cashflow Working'!$D:$D,VALUE("0"),0,1)</f>
        <v>#NAME?</v>
      </c>
      <c r="H71" s="199"/>
      <c r="I71" s="20" t="e" vm="1">
        <f t="shared" ca="1" si="1"/>
        <v>#NAME?</v>
      </c>
    </row>
    <row r="72" spans="1:9" x14ac:dyDescent="0.45">
      <c r="B72" t="s">
        <v>1400</v>
      </c>
      <c r="C72" s="203" t="e" vm="2">
        <f ca="1">_xlfn.XLOOKUP(B72,'Consol (TB)'!C:C,'Consol (TB)'!F:F,VALUE("0"),0,1)</f>
        <v>#NAME?</v>
      </c>
      <c r="D72" s="203" t="e" vm="2">
        <f ca="1">_xlfn.XLOOKUP(B72,'Consol (TB)'!C:C,'Consol (TB)'!H:H,VALUE("0"),0,1)</f>
        <v>#NAME?</v>
      </c>
      <c r="E72" t="s">
        <v>1743</v>
      </c>
      <c r="F72" s="146" t="e" vm="2">
        <f ca="1">_xlfn.XLOOKUP(B72,'Cashflow Working'!$3:$3,'Cashflow Working'!$4:$4,VALUE("0"),0,1)</f>
        <v>#NAME?</v>
      </c>
      <c r="G72" s="199" t="e" vm="2">
        <f ca="1">_xlfn.XLOOKUP(B72,'Cashflow Working'!$C:$C,'Cashflow Working'!$D:$D,VALUE("0"),0,1)</f>
        <v>#NAME?</v>
      </c>
      <c r="H72" s="199"/>
      <c r="I72" s="20" t="e" vm="1">
        <f t="shared" ca="1" si="1"/>
        <v>#NAME?</v>
      </c>
    </row>
    <row r="73" spans="1:9" x14ac:dyDescent="0.45">
      <c r="B73" t="s">
        <v>1401</v>
      </c>
      <c r="C73" s="203" t="e" vm="2">
        <f ca="1">_xlfn.XLOOKUP(B73,'Consol (TB)'!C:C,'Consol (TB)'!F:F,VALUE("0"),0,1)</f>
        <v>#NAME?</v>
      </c>
      <c r="D73" s="203" t="e" vm="2">
        <f ca="1">_xlfn.XLOOKUP(B73,'Consol (TB)'!C:C,'Consol (TB)'!H:H,VALUE("0"),0,1)</f>
        <v>#NAME?</v>
      </c>
      <c r="E73" t="s">
        <v>1680</v>
      </c>
      <c r="F73" s="146" t="e" vm="2">
        <f ca="1">_xlfn.XLOOKUP(B73,'Cashflow Working'!$3:$3,'Cashflow Working'!$4:$4,VALUE("0"),0,1)</f>
        <v>#NAME?</v>
      </c>
      <c r="G73" s="199" t="e" vm="2">
        <f ca="1">_xlfn.XLOOKUP(B73,'Cashflow Working'!$C:$C,'Cashflow Working'!$D:$D,VALUE("0"),0,1)</f>
        <v>#NAME?</v>
      </c>
      <c r="H73" s="199"/>
      <c r="I73" s="20" t="e" vm="1">
        <f t="shared" ca="1" si="1"/>
        <v>#NAME?</v>
      </c>
    </row>
    <row r="74" spans="1:9" x14ac:dyDescent="0.45">
      <c r="B74" t="s">
        <v>1402</v>
      </c>
      <c r="C74" s="203" t="e" vm="2">
        <f ca="1">_xlfn.XLOOKUP(B74,'Consol (TB)'!C:C,'Consol (TB)'!F:F,VALUE("0"),0,1)</f>
        <v>#NAME?</v>
      </c>
      <c r="D74" s="203" t="e" vm="2">
        <f ca="1">_xlfn.XLOOKUP(B74,'Consol (TB)'!C:C,'Consol (TB)'!H:H,VALUE("0"),0,1)</f>
        <v>#NAME?</v>
      </c>
      <c r="E74" t="s">
        <v>1743</v>
      </c>
      <c r="F74" s="146" t="e" vm="2">
        <f ca="1">_xlfn.XLOOKUP(B74,'Cashflow Working'!$3:$3,'Cashflow Working'!$4:$4,VALUE("0"),0,1)</f>
        <v>#NAME?</v>
      </c>
      <c r="G74" s="199" t="e" vm="2">
        <f ca="1">_xlfn.XLOOKUP(B74,'Cashflow Working'!$C:$C,'Cashflow Working'!$D:$D,VALUE("0"),0,1)</f>
        <v>#NAME?</v>
      </c>
      <c r="H74" s="199"/>
      <c r="I74" s="20" t="e" vm="1">
        <f t="shared" ca="1" si="1"/>
        <v>#NAME?</v>
      </c>
    </row>
    <row r="75" spans="1:9" x14ac:dyDescent="0.45">
      <c r="B75" t="s">
        <v>1403</v>
      </c>
      <c r="C75" s="203" t="e" vm="2">
        <f ca="1">_xlfn.XLOOKUP(B75,'Consol (TB)'!C:C,'Consol (TB)'!F:F,VALUE("0"),0,1)</f>
        <v>#NAME?</v>
      </c>
      <c r="D75" s="203" t="e" vm="2">
        <f ca="1">_xlfn.XLOOKUP(B75,'Consol (TB)'!C:C,'Consol (TB)'!H:H,VALUE("0"),0,1)</f>
        <v>#NAME?</v>
      </c>
      <c r="E75" t="s">
        <v>1680</v>
      </c>
      <c r="F75" s="146" t="e" vm="2">
        <f ca="1">_xlfn.XLOOKUP(B75,'Cashflow Working'!$3:$3,'Cashflow Working'!$4:$4,VALUE("0"),0,1)</f>
        <v>#NAME?</v>
      </c>
      <c r="G75" s="199" t="e" vm="2">
        <f ca="1">_xlfn.XLOOKUP(B75,'Cashflow Working'!$C:$C,'Cashflow Working'!$D:$D,VALUE("0"),0,1)</f>
        <v>#NAME?</v>
      </c>
      <c r="H75" s="199"/>
      <c r="I75" s="20" t="e" vm="1">
        <f t="shared" ca="1" si="1"/>
        <v>#NAME?</v>
      </c>
    </row>
    <row r="76" spans="1:9" x14ac:dyDescent="0.45">
      <c r="B76" t="s">
        <v>1386</v>
      </c>
      <c r="C76" s="203" t="e" vm="2">
        <f ca="1">_xlfn.XLOOKUP(B76,'Consol (TB)'!C:C,'Consol (TB)'!F:F,VALUE("0"),0,1)</f>
        <v>#NAME?</v>
      </c>
      <c r="D76" s="203" t="e" vm="2">
        <f ca="1">_xlfn.XLOOKUP(B76,'Consol (TB)'!C:C,'Consol (TB)'!H:H,VALUE("0"),0,1)</f>
        <v>#NAME?</v>
      </c>
      <c r="E76" t="s">
        <v>1743</v>
      </c>
      <c r="F76" s="146" t="e" vm="2">
        <f ca="1">_xlfn.XLOOKUP(B76,'Cashflow Working'!$3:$3,'Cashflow Working'!$4:$4,VALUE("0"),0,1)</f>
        <v>#NAME?</v>
      </c>
      <c r="G76" s="199" t="e" vm="2">
        <f ca="1">_xlfn.XLOOKUP(B76,'Cashflow Working'!$C:$C,'Cashflow Working'!$D:$D,VALUE("0"),0,1)</f>
        <v>#NAME?</v>
      </c>
      <c r="H76" s="199"/>
      <c r="I76" s="20" t="e" vm="1">
        <f t="shared" ca="1" si="1"/>
        <v>#NAME?</v>
      </c>
    </row>
    <row r="77" spans="1:9" x14ac:dyDescent="0.45">
      <c r="B77" t="s">
        <v>1404</v>
      </c>
      <c r="C77" s="203" t="e" vm="2">
        <f ca="1">_xlfn.XLOOKUP(B77,'Consol (TB)'!C:C,'Consol (TB)'!F:F,VALUE("0"),0,1)</f>
        <v>#NAME?</v>
      </c>
      <c r="D77" s="203" t="e" vm="2">
        <f ca="1">_xlfn.XLOOKUP(B77,'Consol (TB)'!C:C,'Consol (TB)'!H:H,VALUE("0"),0,1)</f>
        <v>#NAME?</v>
      </c>
      <c r="E77" t="s">
        <v>1743</v>
      </c>
      <c r="F77" s="146" t="e" vm="2">
        <f ca="1">_xlfn.XLOOKUP(B77,'Cashflow Working'!$3:$3,'Cashflow Working'!$4:$4,VALUE("0"),0,1)</f>
        <v>#NAME?</v>
      </c>
      <c r="G77" s="199" t="e" vm="2">
        <f ca="1">_xlfn.XLOOKUP(B77,'Cashflow Working'!$C:$C,'Cashflow Working'!$D:$D,VALUE("0"),0,1)</f>
        <v>#NAME?</v>
      </c>
      <c r="H77" s="199"/>
      <c r="I77" s="20" t="e" vm="1">
        <f t="shared" ca="1" si="1"/>
        <v>#NAME?</v>
      </c>
    </row>
    <row r="78" spans="1:9" x14ac:dyDescent="0.45">
      <c r="B78" t="s">
        <v>1405</v>
      </c>
      <c r="C78" s="203" t="e" vm="2">
        <f ca="1">_xlfn.XLOOKUP(B78,'Consol (TB)'!C:C,'Consol (TB)'!F:F,VALUE("0"),0,1)</f>
        <v>#NAME?</v>
      </c>
      <c r="D78" s="203" t="e" vm="2">
        <f ca="1">_xlfn.XLOOKUP(B78,'Consol (TB)'!C:C,'Consol (TB)'!H:H,VALUE("0"),0,1)</f>
        <v>#NAME?</v>
      </c>
      <c r="E78" t="s">
        <v>1743</v>
      </c>
      <c r="F78" s="146" t="e" vm="2">
        <f ca="1">_xlfn.XLOOKUP(B78,'Cashflow Working'!$3:$3,'Cashflow Working'!$4:$4,VALUE("0"),0,1)</f>
        <v>#NAME?</v>
      </c>
      <c r="G78" s="199" t="e" vm="2">
        <f ca="1">_xlfn.XLOOKUP(B78,'Cashflow Working'!$C:$C,'Cashflow Working'!$D:$D,VALUE("0"),0,1)</f>
        <v>#NAME?</v>
      </c>
      <c r="H78" s="199"/>
      <c r="I78" s="20" t="e" vm="1">
        <f t="shared" ca="1" si="1"/>
        <v>#NAME?</v>
      </c>
    </row>
    <row r="79" spans="1:9" x14ac:dyDescent="0.45">
      <c r="B79" t="s">
        <v>1406</v>
      </c>
      <c r="C79" s="203" t="e" vm="2">
        <f ca="1">_xlfn.XLOOKUP(B79,'Consol (TB)'!C:C,'Consol (TB)'!F:F,VALUE("0"),0,1)</f>
        <v>#NAME?</v>
      </c>
      <c r="D79" s="203" t="e" vm="2">
        <f ca="1">_xlfn.XLOOKUP(B79,'Consol (TB)'!C:C,'Consol (TB)'!H:H,VALUE("0"),0,1)</f>
        <v>#NAME?</v>
      </c>
      <c r="E79" t="s">
        <v>1680</v>
      </c>
      <c r="F79" s="146" t="e" vm="2">
        <f ca="1">_xlfn.XLOOKUP(B79,'Cashflow Working'!$3:$3,'Cashflow Working'!$4:$4,VALUE("0"),0,1)</f>
        <v>#NAME?</v>
      </c>
      <c r="G79" s="199" t="e" vm="2">
        <f ca="1">_xlfn.XLOOKUP(B79,'Cashflow Working'!$C:$C,'Cashflow Working'!$D:$D,VALUE("0"),0,1)</f>
        <v>#NAME?</v>
      </c>
      <c r="H79" s="199"/>
      <c r="I79" s="20" t="e" vm="1">
        <f t="shared" ca="1" si="1"/>
        <v>#NAME?</v>
      </c>
    </row>
    <row r="80" spans="1:9" x14ac:dyDescent="0.45">
      <c r="B80" t="s">
        <v>1407</v>
      </c>
      <c r="C80" s="203" t="e" vm="2">
        <f ca="1">_xlfn.XLOOKUP(B80,'Consol (TB)'!C:C,'Consol (TB)'!F:F,VALUE("0"),0,1)</f>
        <v>#NAME?</v>
      </c>
      <c r="D80" s="203" t="e" vm="2">
        <f ca="1">_xlfn.XLOOKUP(B80,'Consol (TB)'!C:C,'Consol (TB)'!H:H,VALUE("0"),0,1)</f>
        <v>#NAME?</v>
      </c>
      <c r="E80" t="s">
        <v>1743</v>
      </c>
      <c r="F80" s="146" t="e" vm="2">
        <f ca="1">_xlfn.XLOOKUP(B80,'Cashflow Working'!$3:$3,'Cashflow Working'!$4:$4,VALUE("0"),0,1)</f>
        <v>#NAME?</v>
      </c>
      <c r="G80" s="199" t="e" vm="2">
        <f ca="1">_xlfn.XLOOKUP(B80,'Cashflow Working'!$C:$C,'Cashflow Working'!$D:$D,VALUE("0"),0,1)</f>
        <v>#NAME?</v>
      </c>
      <c r="H80" s="199"/>
      <c r="I80" s="20" t="e" vm="1">
        <f t="shared" ca="1" si="1"/>
        <v>#NAME?</v>
      </c>
    </row>
    <row r="81" spans="1:9" x14ac:dyDescent="0.45">
      <c r="B81" t="s">
        <v>1408</v>
      </c>
      <c r="C81" s="203" t="e" vm="2">
        <f ca="1">_xlfn.XLOOKUP(B81,'Consol (TB)'!C:C,'Consol (TB)'!F:F,VALUE("0"),0,1)</f>
        <v>#NAME?</v>
      </c>
      <c r="D81" s="203" t="e" vm="2">
        <f ca="1">_xlfn.XLOOKUP(B81,'Consol (TB)'!C:C,'Consol (TB)'!H:H,VALUE("0"),0,1)</f>
        <v>#NAME?</v>
      </c>
      <c r="E81" t="s">
        <v>1680</v>
      </c>
      <c r="F81" s="146" t="e" vm="2">
        <f ca="1">_xlfn.XLOOKUP(B81,'Cashflow Working'!$3:$3,'Cashflow Working'!$4:$4,VALUE("0"),0,1)</f>
        <v>#NAME?</v>
      </c>
      <c r="G81" s="199" t="e" vm="2">
        <f ca="1">_xlfn.XLOOKUP(B81,'Cashflow Working'!$C:$C,'Cashflow Working'!$D:$D,VALUE("0"),0,1)</f>
        <v>#NAME?</v>
      </c>
      <c r="H81" s="199"/>
      <c r="I81" s="20" t="e" vm="1">
        <f t="shared" ca="1" si="1"/>
        <v>#NAME?</v>
      </c>
    </row>
    <row r="82" spans="1:9" x14ac:dyDescent="0.45">
      <c r="B82" t="s">
        <v>1409</v>
      </c>
      <c r="C82" s="203" t="e" vm="2">
        <f ca="1">_xlfn.XLOOKUP(B82,'Consol (TB)'!C:C,'Consol (TB)'!F:F,VALUE("0"),0,1)</f>
        <v>#NAME?</v>
      </c>
      <c r="D82" s="203" t="e" vm="2">
        <f ca="1">_xlfn.XLOOKUP(B82,'Consol (TB)'!C:C,'Consol (TB)'!H:H,VALUE("0"),0,1)</f>
        <v>#NAME?</v>
      </c>
      <c r="E82" t="s">
        <v>1743</v>
      </c>
      <c r="F82" s="146" t="e" vm="2">
        <f ca="1">_xlfn.XLOOKUP(B82,'Cashflow Working'!$3:$3,'Cashflow Working'!$4:$4,VALUE("0"),0,1)</f>
        <v>#NAME?</v>
      </c>
      <c r="G82" s="199" t="e" vm="2">
        <f ca="1">_xlfn.XLOOKUP(B82,'Cashflow Working'!$C:$C,'Cashflow Working'!$D:$D,VALUE("0"),0,1)</f>
        <v>#NAME?</v>
      </c>
      <c r="H82" s="199"/>
      <c r="I82" s="20" t="e" vm="1">
        <f t="shared" ca="1" si="1"/>
        <v>#NAME?</v>
      </c>
    </row>
    <row r="83" spans="1:9" x14ac:dyDescent="0.45">
      <c r="B83" t="s">
        <v>1410</v>
      </c>
      <c r="C83" s="203" t="e" vm="2">
        <f ca="1">_xlfn.XLOOKUP(B83,'Consol (TB)'!C:C,'Consol (TB)'!F:F,VALUE("0"),0,1)</f>
        <v>#NAME?</v>
      </c>
      <c r="D83" s="203" t="e" vm="2">
        <f ca="1">_xlfn.XLOOKUP(B83,'Consol (TB)'!C:C,'Consol (TB)'!H:H,VALUE("0"),0,1)</f>
        <v>#NAME?</v>
      </c>
      <c r="E83" t="s">
        <v>1680</v>
      </c>
      <c r="F83" s="146" t="e" vm="2">
        <f ca="1">_xlfn.XLOOKUP(B83,'Cashflow Working'!$3:$3,'Cashflow Working'!$4:$4,VALUE("0"),0,1)</f>
        <v>#NAME?</v>
      </c>
      <c r="G83" s="199" t="e" vm="2">
        <f ca="1">_xlfn.XLOOKUP(B83,'Cashflow Working'!$C:$C,'Cashflow Working'!$D:$D,VALUE("0"),0,1)</f>
        <v>#NAME?</v>
      </c>
      <c r="H83" s="199"/>
      <c r="I83" s="20" t="e" vm="1">
        <f t="shared" ca="1" si="1"/>
        <v>#NAME?</v>
      </c>
    </row>
    <row r="84" spans="1:9" x14ac:dyDescent="0.45">
      <c r="B84" t="s">
        <v>1411</v>
      </c>
      <c r="C84" s="203" t="e" vm="2">
        <f ca="1">_xlfn.XLOOKUP(B84,'Consol (TB)'!C:C,'Consol (TB)'!F:F,VALUE("0"),0,1)</f>
        <v>#NAME?</v>
      </c>
      <c r="D84" s="203" t="e" vm="2">
        <f ca="1">_xlfn.XLOOKUP(B84,'Consol (TB)'!C:C,'Consol (TB)'!H:H,VALUE("0"),0,1)</f>
        <v>#NAME?</v>
      </c>
      <c r="E84" t="s">
        <v>1743</v>
      </c>
      <c r="F84" s="146" t="e" vm="2">
        <f ca="1">_xlfn.XLOOKUP(B84,'Cashflow Working'!$3:$3,'Cashflow Working'!$4:$4,VALUE("0"),0,1)</f>
        <v>#NAME?</v>
      </c>
      <c r="G84" s="199" t="e" vm="2">
        <f ca="1">_xlfn.XLOOKUP(B84,'Cashflow Working'!$C:$C,'Cashflow Working'!$D:$D,VALUE("0"),0,1)</f>
        <v>#NAME?</v>
      </c>
      <c r="H84" s="199"/>
      <c r="I84" s="20" t="e" vm="1">
        <f t="shared" ca="1" si="1"/>
        <v>#NAME?</v>
      </c>
    </row>
    <row r="85" spans="1:9" x14ac:dyDescent="0.45">
      <c r="B85" t="s">
        <v>1412</v>
      </c>
      <c r="C85" s="203" t="e" vm="2">
        <f ca="1">_xlfn.XLOOKUP(B85,'Consol (TB)'!C:C,'Consol (TB)'!F:F,VALUE("0"),0,1)</f>
        <v>#NAME?</v>
      </c>
      <c r="D85" s="203" t="e" vm="2">
        <f ca="1">_xlfn.XLOOKUP(B85,'Consol (TB)'!C:C,'Consol (TB)'!H:H,VALUE("0"),0,1)</f>
        <v>#NAME?</v>
      </c>
      <c r="E85" t="s">
        <v>1680</v>
      </c>
      <c r="F85" s="146" t="e" vm="2">
        <f ca="1">_xlfn.XLOOKUP(B85,'Cashflow Working'!$3:$3,'Cashflow Working'!$4:$4,VALUE("0"),0,1)</f>
        <v>#NAME?</v>
      </c>
      <c r="G85" s="199" t="e" vm="2">
        <f ca="1">_xlfn.XLOOKUP(B85,'Cashflow Working'!$C:$C,'Cashflow Working'!$D:$D,VALUE("0"),0,1)</f>
        <v>#NAME?</v>
      </c>
      <c r="H85" s="199"/>
      <c r="I85" s="20" t="e" vm="1">
        <f t="shared" ca="1" si="1"/>
        <v>#NAME?</v>
      </c>
    </row>
    <row r="86" spans="1:9" x14ac:dyDescent="0.45">
      <c r="B86" t="s">
        <v>1421</v>
      </c>
      <c r="C86" s="203" t="e" vm="2">
        <f ca="1">_xlfn.XLOOKUP(B86,'Consol (TB)'!C:C,'Consol (TB)'!F:F,VALUE("0"),0,1)</f>
        <v>#NAME?</v>
      </c>
      <c r="D86" s="203" t="e" vm="2">
        <f ca="1">_xlfn.XLOOKUP(B86,'Consol (TB)'!C:C,'Consol (TB)'!H:H,VALUE("0"),0,1)</f>
        <v>#NAME?</v>
      </c>
      <c r="E86" t="s">
        <v>1743</v>
      </c>
      <c r="F86" s="146" t="e" vm="2">
        <f ca="1">_xlfn.XLOOKUP(B86,'Cashflow Working'!$3:$3,'Cashflow Working'!$4:$4,VALUE("0"),0,1)</f>
        <v>#NAME?</v>
      </c>
      <c r="G86" s="199" t="e" vm="2">
        <f ca="1">_xlfn.XLOOKUP(B86,'Cashflow Working'!$C:$C,'Cashflow Working'!$D:$D,VALUE("0"),0,1)</f>
        <v>#NAME?</v>
      </c>
      <c r="H86" s="199"/>
      <c r="I86" s="20" t="e" vm="1">
        <f t="shared" ca="1" si="1"/>
        <v>#NAME?</v>
      </c>
    </row>
    <row r="87" spans="1:9" x14ac:dyDescent="0.45">
      <c r="A87">
        <v>12600010</v>
      </c>
      <c r="B87" t="s">
        <v>1137</v>
      </c>
      <c r="C87" s="203" t="e" vm="2">
        <f ca="1">_xlfn.XLOOKUP(B87,'Consol (TB)'!C:C,'Consol (TB)'!F:F,VALUE("0"),0,1)</f>
        <v>#NAME?</v>
      </c>
      <c r="D87" s="203" t="e" vm="2">
        <f ca="1">_xlfn.XLOOKUP(B87,'Consol (TB)'!C:C,'Consol (TB)'!H:H,VALUE("0"),0,1)</f>
        <v>#NAME?</v>
      </c>
      <c r="E87" t="s">
        <v>1751</v>
      </c>
      <c r="F87" s="146" t="e" vm="2">
        <f ca="1">_xlfn.XLOOKUP(B87,'Cashflow Working'!$3:$3,'Cashflow Working'!$4:$4,VALUE("0"),0,1)</f>
        <v>#NAME?</v>
      </c>
      <c r="G87" s="199" t="e" vm="2">
        <f ca="1">_xlfn.XLOOKUP(B87,'Cashflow Working'!$C:$C,'Cashflow Working'!$D:$D,VALUE("0"),0,1)</f>
        <v>#NAME?</v>
      </c>
      <c r="H87" s="199"/>
      <c r="I87" s="20" t="e" vm="1">
        <f t="shared" ca="1" si="1"/>
        <v>#NAME?</v>
      </c>
    </row>
    <row r="88" spans="1:9" x14ac:dyDescent="0.45">
      <c r="A88">
        <v>12600040</v>
      </c>
      <c r="B88" t="s">
        <v>1138</v>
      </c>
      <c r="C88" s="203" t="e" vm="2">
        <f ca="1">_xlfn.XLOOKUP(B88,'Consol (TB)'!C:C,'Consol (TB)'!F:F,VALUE("0"),0,1)</f>
        <v>#NAME?</v>
      </c>
      <c r="D88" s="203" t="e" vm="2">
        <f ca="1">_xlfn.XLOOKUP(B88,'Consol (TB)'!C:C,'Consol (TB)'!H:H,VALUE("0"),0,1)</f>
        <v>#NAME?</v>
      </c>
      <c r="E88" t="s">
        <v>1745</v>
      </c>
      <c r="F88" s="146" t="e" vm="2">
        <f ca="1">_xlfn.XLOOKUP(B88,'Cashflow Working'!$3:$3,'Cashflow Working'!$4:$4,VALUE("0"),0,1)</f>
        <v>#NAME?</v>
      </c>
      <c r="G88" s="199" t="e" vm="2">
        <f ca="1">_xlfn.XLOOKUP(B88,'Cashflow Working'!$C:$C,'Cashflow Working'!$D:$D,VALUE("0"),0,1)</f>
        <v>#NAME?</v>
      </c>
      <c r="H88" s="199"/>
      <c r="I88" s="20" t="e" vm="1">
        <f t="shared" ca="1" si="1"/>
        <v>#NAME?</v>
      </c>
    </row>
    <row r="89" spans="1:9" x14ac:dyDescent="0.45">
      <c r="A89">
        <v>12600050</v>
      </c>
      <c r="B89" t="s">
        <v>1139</v>
      </c>
      <c r="C89" s="203" t="e" vm="2">
        <f ca="1">_xlfn.XLOOKUP(B89,'Consol (TB)'!C:C,'Consol (TB)'!F:F,VALUE("0"),0,1)</f>
        <v>#NAME?</v>
      </c>
      <c r="D89" s="203" t="e" vm="2">
        <f ca="1">_xlfn.XLOOKUP(B89,'Consol (TB)'!C:C,'Consol (TB)'!H:H,VALUE("0"),0,1)</f>
        <v>#NAME?</v>
      </c>
      <c r="E89" t="s">
        <v>1680</v>
      </c>
      <c r="F89" s="146" t="e" vm="2">
        <f ca="1">_xlfn.XLOOKUP(B89,'Cashflow Working'!$3:$3,'Cashflow Working'!$4:$4,VALUE("0"),0,1)</f>
        <v>#NAME?</v>
      </c>
      <c r="G89" s="199" t="e" vm="2">
        <f ca="1">_xlfn.XLOOKUP(B89,'Cashflow Working'!$C:$C,'Cashflow Working'!$D:$D,VALUE("0"),0,1)</f>
        <v>#NAME?</v>
      </c>
      <c r="H89" s="199"/>
      <c r="I89" s="20" t="e" vm="1">
        <f t="shared" ca="1" si="1"/>
        <v>#NAME?</v>
      </c>
    </row>
    <row r="90" spans="1:9" x14ac:dyDescent="0.45">
      <c r="A90">
        <v>21100010</v>
      </c>
      <c r="B90" t="s">
        <v>1140</v>
      </c>
      <c r="C90" s="203" t="e" vm="2">
        <f ca="1">_xlfn.XLOOKUP(B90,'Consol (TB)'!C:C,'Consol (TB)'!F:F,VALUE("0"),0,1)</f>
        <v>#NAME?</v>
      </c>
      <c r="D90" s="203" t="e" vm="2">
        <f ca="1">_xlfn.XLOOKUP(B90,'Consol (TB)'!C:C,'Consol (TB)'!H:H,VALUE("0"),0,1)</f>
        <v>#NAME?</v>
      </c>
      <c r="E90" t="s">
        <v>1736</v>
      </c>
      <c r="F90" s="146" t="e" vm="2">
        <f ca="1">_xlfn.XLOOKUP(B90,'Cashflow Working'!$3:$3,'Cashflow Working'!$4:$4,VALUE("0"),0,1)</f>
        <v>#NAME?</v>
      </c>
      <c r="G90" s="199" t="e" vm="2">
        <f ca="1">_xlfn.XLOOKUP(B90,'Cashflow Working'!$C:$C,'Cashflow Working'!$D:$D,VALUE("0"),0,1)</f>
        <v>#NAME?</v>
      </c>
      <c r="H90" s="199"/>
      <c r="I90" s="20" t="e" vm="1">
        <f t="shared" ca="1" si="1"/>
        <v>#NAME?</v>
      </c>
    </row>
    <row r="91" spans="1:9" x14ac:dyDescent="0.45">
      <c r="A91">
        <v>21100020</v>
      </c>
      <c r="B91" t="s">
        <v>1141</v>
      </c>
      <c r="C91" s="203" t="e" vm="2">
        <f ca="1">_xlfn.XLOOKUP(B91,'Consol (TB)'!C:C,'Consol (TB)'!F:F,VALUE("0"),0,1)</f>
        <v>#NAME?</v>
      </c>
      <c r="D91" s="203" t="e" vm="2">
        <f ca="1">_xlfn.XLOOKUP(B91,'Consol (TB)'!C:C,'Consol (TB)'!H:H,VALUE("0"),0,1)</f>
        <v>#NAME?</v>
      </c>
      <c r="E91" t="s">
        <v>1736</v>
      </c>
      <c r="F91" s="146" t="e" vm="2">
        <f ca="1">_xlfn.XLOOKUP(B91,'Cashflow Working'!$3:$3,'Cashflow Working'!$4:$4,VALUE("0"),0,1)</f>
        <v>#NAME?</v>
      </c>
      <c r="G91" s="199" t="e" vm="2">
        <f ca="1">_xlfn.XLOOKUP(B91,'Cashflow Working'!$C:$C,'Cashflow Working'!$D:$D,VALUE("0"),0,1)</f>
        <v>#NAME?</v>
      </c>
      <c r="H91" s="199"/>
      <c r="I91" s="20" t="e" vm="1">
        <f t="shared" ca="1" si="1"/>
        <v>#NAME?</v>
      </c>
    </row>
    <row r="92" spans="1:9" x14ac:dyDescent="0.45">
      <c r="A92">
        <v>21100030</v>
      </c>
      <c r="B92" t="s">
        <v>1142</v>
      </c>
      <c r="C92" s="203" t="e" vm="2">
        <f ca="1">_xlfn.XLOOKUP(B92,'Consol (TB)'!C:C,'Consol (TB)'!F:F,VALUE("0"),0,1)</f>
        <v>#NAME?</v>
      </c>
      <c r="D92" s="203" t="e" vm="2">
        <f ca="1">_xlfn.XLOOKUP(B92,'Consol (TB)'!C:C,'Consol (TB)'!H:H,VALUE("0"),0,1)</f>
        <v>#NAME?</v>
      </c>
      <c r="E92" t="s">
        <v>1736</v>
      </c>
      <c r="F92" s="146" t="e" vm="2">
        <f ca="1">_xlfn.XLOOKUP(B92,'Cashflow Working'!$3:$3,'Cashflow Working'!$4:$4,VALUE("0"),0,1)</f>
        <v>#NAME?</v>
      </c>
      <c r="G92" s="199" t="e" vm="2">
        <f ca="1">_xlfn.XLOOKUP(B92,'Cashflow Working'!$C:$C,'Cashflow Working'!$D:$D,VALUE("0"),0,1)</f>
        <v>#NAME?</v>
      </c>
      <c r="H92" s="199"/>
      <c r="I92" s="20" t="e" vm="1">
        <f t="shared" ca="1" si="1"/>
        <v>#NAME?</v>
      </c>
    </row>
    <row r="93" spans="1:9" x14ac:dyDescent="0.45">
      <c r="A93">
        <v>21100050</v>
      </c>
      <c r="B93" t="s">
        <v>1143</v>
      </c>
      <c r="C93" s="203" t="e" vm="2">
        <f ca="1">_xlfn.XLOOKUP(B93,'Consol (TB)'!C:C,'Consol (TB)'!F:F,VALUE("0"),0,1)</f>
        <v>#NAME?</v>
      </c>
      <c r="D93" s="203" t="e" vm="2">
        <f ca="1">_xlfn.XLOOKUP(B93,'Consol (TB)'!C:C,'Consol (TB)'!H:H,VALUE("0"),0,1)</f>
        <v>#NAME?</v>
      </c>
      <c r="E93" t="s">
        <v>1736</v>
      </c>
      <c r="F93" s="146" t="e" vm="2">
        <f ca="1">_xlfn.XLOOKUP(B93,'Cashflow Working'!$3:$3,'Cashflow Working'!$4:$4,VALUE("0"),0,1)</f>
        <v>#NAME?</v>
      </c>
      <c r="G93" s="199" t="e" vm="2">
        <f ca="1">_xlfn.XLOOKUP(B93,'Cashflow Working'!$C:$C,'Cashflow Working'!$D:$D,VALUE("0"),0,1)</f>
        <v>#NAME?</v>
      </c>
      <c r="H93" s="199"/>
      <c r="I93" s="20" t="e" vm="1">
        <f t="shared" ca="1" si="1"/>
        <v>#NAME?</v>
      </c>
    </row>
    <row r="94" spans="1:9" x14ac:dyDescent="0.45">
      <c r="A94">
        <v>21200010</v>
      </c>
      <c r="B94" t="s">
        <v>1144</v>
      </c>
      <c r="C94" s="203" t="e" vm="2">
        <f ca="1">_xlfn.XLOOKUP(B94,'Consol (TB)'!C:C,'Consol (TB)'!F:F,VALUE("0"),0,1)</f>
        <v>#NAME?</v>
      </c>
      <c r="D94" s="203" t="e" vm="2">
        <f ca="1">_xlfn.XLOOKUP(B94,'Consol (TB)'!C:C,'Consol (TB)'!H:H,VALUE("0"),0,1)</f>
        <v>#NAME?</v>
      </c>
      <c r="E94" t="s">
        <v>1736</v>
      </c>
      <c r="F94" s="146" t="e" vm="2">
        <f ca="1">_xlfn.XLOOKUP(B94,'Cashflow Working'!$3:$3,'Cashflow Working'!$4:$4,VALUE("0"),0,1)</f>
        <v>#NAME?</v>
      </c>
      <c r="G94" s="199" t="e" vm="2">
        <f ca="1">_xlfn.XLOOKUP(B94,'Cashflow Working'!$C:$C,'Cashflow Working'!$D:$D,VALUE("0"),0,1)</f>
        <v>#NAME?</v>
      </c>
      <c r="H94" s="199"/>
      <c r="I94" s="20" t="e" vm="1">
        <f t="shared" ca="1" si="1"/>
        <v>#NAME?</v>
      </c>
    </row>
    <row r="95" spans="1:9" x14ac:dyDescent="0.45">
      <c r="A95">
        <v>21200020</v>
      </c>
      <c r="B95" t="s">
        <v>1557</v>
      </c>
      <c r="C95" s="203" t="e" vm="2">
        <f ca="1">_xlfn.XLOOKUP(B95,'Consol (TB)'!C:C,'Consol (TB)'!F:F,VALUE("0"),0,1)</f>
        <v>#NAME?</v>
      </c>
      <c r="D95" s="203" t="e" vm="2">
        <f ca="1">_xlfn.XLOOKUP(B95,'Consol (TB)'!C:C,'Consol (TB)'!H:H,VALUE("0"),0,1)</f>
        <v>#NAME?</v>
      </c>
      <c r="E95" t="s">
        <v>1736</v>
      </c>
      <c r="F95" s="146" t="e" vm="2">
        <f ca="1">_xlfn.XLOOKUP(B95,'Cashflow Working'!$3:$3,'Cashflow Working'!$4:$4,VALUE("0"),0,1)</f>
        <v>#NAME?</v>
      </c>
      <c r="G95" s="199" t="e" vm="2">
        <f ca="1">_xlfn.XLOOKUP(B95,'Cashflow Working'!$C:$C,'Cashflow Working'!$D:$D,VALUE("0"),0,1)</f>
        <v>#NAME?</v>
      </c>
      <c r="H95" s="199"/>
      <c r="I95" s="20" t="e" vm="1">
        <f t="shared" ca="1" si="1"/>
        <v>#NAME?</v>
      </c>
    </row>
    <row r="96" spans="1:9" x14ac:dyDescent="0.45">
      <c r="A96">
        <v>21200030</v>
      </c>
      <c r="B96" t="s">
        <v>1145</v>
      </c>
      <c r="C96" s="203" t="e" vm="2">
        <f ca="1">_xlfn.XLOOKUP(B96,'Consol (TB)'!C:C,'Consol (TB)'!F:F,VALUE("0"),0,1)</f>
        <v>#NAME?</v>
      </c>
      <c r="D96" s="203" t="e" vm="2">
        <f ca="1">_xlfn.XLOOKUP(B96,'Consol (TB)'!C:C,'Consol (TB)'!H:H,VALUE("0"),0,1)</f>
        <v>#NAME?</v>
      </c>
      <c r="E96" t="s">
        <v>1736</v>
      </c>
      <c r="F96" s="146" t="e" vm="2">
        <f ca="1">_xlfn.XLOOKUP(B96,'Cashflow Working'!$3:$3,'Cashflow Working'!$4:$4,VALUE("0"),0,1)</f>
        <v>#NAME?</v>
      </c>
      <c r="G96" s="199" t="e" vm="2">
        <f ca="1">_xlfn.XLOOKUP(B96,'Cashflow Working'!$C:$C,'Cashflow Working'!$D:$D,VALUE("0"),0,1)</f>
        <v>#NAME?</v>
      </c>
      <c r="H96" s="199"/>
      <c r="I96" s="20" t="e" vm="1">
        <f t="shared" ca="1" si="1"/>
        <v>#NAME?</v>
      </c>
    </row>
    <row r="97" spans="1:9" x14ac:dyDescent="0.45">
      <c r="B97" t="s">
        <v>1393</v>
      </c>
      <c r="C97" s="203" t="e" vm="2">
        <f ca="1">_xlfn.XLOOKUP(B97,'Consol (TB)'!C:C,'Consol (TB)'!F:F,VALUE("0"),0,1)</f>
        <v>#NAME?</v>
      </c>
      <c r="D97" s="203" t="e" vm="2">
        <f ca="1">_xlfn.XLOOKUP(B97,'Consol (TB)'!C:C,'Consol (TB)'!H:H,VALUE("0"),0,1)</f>
        <v>#NAME?</v>
      </c>
      <c r="E97" t="s">
        <v>1736</v>
      </c>
      <c r="F97" s="146" t="e" vm="2">
        <f ca="1">_xlfn.XLOOKUP(B97,'Cashflow Working'!$3:$3,'Cashflow Working'!$4:$4,VALUE("0"),0,1)</f>
        <v>#NAME?</v>
      </c>
      <c r="G97" s="199" t="e" vm="2">
        <f ca="1">_xlfn.XLOOKUP(B97,'Cashflow Working'!$C:$C,'Cashflow Working'!$D:$D,VALUE("0"),0,1)</f>
        <v>#NAME?</v>
      </c>
      <c r="H97" s="199"/>
      <c r="I97" s="20" t="e" vm="1">
        <f t="shared" ca="1" si="1"/>
        <v>#NAME?</v>
      </c>
    </row>
    <row r="98" spans="1:9" x14ac:dyDescent="0.45">
      <c r="A98">
        <v>21200050</v>
      </c>
      <c r="B98" t="s">
        <v>1146</v>
      </c>
      <c r="C98" s="203" t="e" vm="2">
        <f ca="1">_xlfn.XLOOKUP(B98,'Consol (TB)'!C:C,'Consol (TB)'!F:F,VALUE("0"),0,1)</f>
        <v>#NAME?</v>
      </c>
      <c r="D98" s="203" t="e" vm="2">
        <f ca="1">_xlfn.XLOOKUP(B98,'Consol (TB)'!C:C,'Consol (TB)'!H:H,VALUE("0"),0,1)</f>
        <v>#NAME?</v>
      </c>
      <c r="E98" t="s">
        <v>1736</v>
      </c>
      <c r="F98" s="146" t="e" vm="2">
        <f ca="1">_xlfn.XLOOKUP(B98,'Cashflow Working'!$3:$3,'Cashflow Working'!$4:$4,VALUE("0"),0,1)</f>
        <v>#NAME?</v>
      </c>
      <c r="G98" s="199" t="e" vm="2">
        <f ca="1">_xlfn.XLOOKUP(B98,'Cashflow Working'!$C:$C,'Cashflow Working'!$D:$D,VALUE("0"),0,1)</f>
        <v>#NAME?</v>
      </c>
      <c r="H98" s="199"/>
      <c r="I98" s="20" t="e" vm="1">
        <f t="shared" ca="1" si="1"/>
        <v>#NAME?</v>
      </c>
    </row>
    <row r="99" spans="1:9" x14ac:dyDescent="0.45">
      <c r="B99" t="s">
        <v>1394</v>
      </c>
      <c r="C99" s="203" t="e" vm="2">
        <f ca="1">_xlfn.XLOOKUP(B99,'Consol (TB)'!C:C,'Consol (TB)'!F:F,VALUE("0"),0,1)</f>
        <v>#NAME?</v>
      </c>
      <c r="D99" s="203" t="e" vm="2">
        <f ca="1">_xlfn.XLOOKUP(B99,'Consol (TB)'!C:C,'Consol (TB)'!H:H,VALUE("0"),0,1)</f>
        <v>#NAME?</v>
      </c>
      <c r="E99" t="s">
        <v>1736</v>
      </c>
      <c r="F99" s="146" t="e" vm="2">
        <f ca="1">_xlfn.XLOOKUP(B99,'Cashflow Working'!$3:$3,'Cashflow Working'!$4:$4,VALUE("0"),0,1)</f>
        <v>#NAME?</v>
      </c>
      <c r="G99" s="199" t="e" vm="2">
        <f ca="1">_xlfn.XLOOKUP(B99,'Cashflow Working'!$C:$C,'Cashflow Working'!$D:$D,VALUE("0"),0,1)</f>
        <v>#NAME?</v>
      </c>
      <c r="H99" s="199"/>
      <c r="I99" s="20" t="e" vm="1">
        <f t="shared" ca="1" si="1"/>
        <v>#NAME?</v>
      </c>
    </row>
    <row r="100" spans="1:9" x14ac:dyDescent="0.45">
      <c r="B100" t="s">
        <v>1423</v>
      </c>
      <c r="C100" s="203" t="e" vm="2">
        <f ca="1">_xlfn.XLOOKUP(B100,'Consol (TB)'!C:C,'Consol (TB)'!F:F,VALUE("0"),0,1)</f>
        <v>#NAME?</v>
      </c>
      <c r="D100" s="203" t="e" vm="2">
        <f ca="1">_xlfn.XLOOKUP(B100,'Consol (TB)'!C:C,'Consol (TB)'!H:H,VALUE("0"),0,1)</f>
        <v>#NAME?</v>
      </c>
      <c r="E100" t="s">
        <v>1736</v>
      </c>
      <c r="F100" s="146" t="e" vm="2">
        <f ca="1">_xlfn.XLOOKUP(B100,'Cashflow Working'!$3:$3,'Cashflow Working'!$4:$4,VALUE("0"),0,1)</f>
        <v>#NAME?</v>
      </c>
      <c r="G100" s="199" t="e" vm="2">
        <f ca="1">_xlfn.XLOOKUP(B100,'Cashflow Working'!$C:$C,'Cashflow Working'!$D:$D,VALUE("0"),0,1)</f>
        <v>#NAME?</v>
      </c>
      <c r="H100" s="199"/>
      <c r="I100" s="20" t="e" vm="1">
        <f t="shared" ca="1" si="1"/>
        <v>#NAME?</v>
      </c>
    </row>
    <row r="101" spans="1:9" x14ac:dyDescent="0.45">
      <c r="B101" t="s">
        <v>1427</v>
      </c>
      <c r="C101" s="203" t="e" vm="2">
        <f ca="1">_xlfn.XLOOKUP(B101,'Consol (TB)'!C:C,'Consol (TB)'!F:F,VALUE("0"),0,1)</f>
        <v>#NAME?</v>
      </c>
      <c r="D101" s="203" t="e" vm="2">
        <f ca="1">_xlfn.XLOOKUP(B101,'Consol (TB)'!C:C,'Consol (TB)'!H:H,VALUE("0"),0,1)</f>
        <v>#NAME?</v>
      </c>
      <c r="E101" t="s">
        <v>1736</v>
      </c>
      <c r="F101" s="146" t="e" vm="2">
        <f ca="1">_xlfn.XLOOKUP(B101,'Cashflow Working'!$3:$3,'Cashflow Working'!$4:$4,VALUE("0"),0,1)</f>
        <v>#NAME?</v>
      </c>
      <c r="G101" s="199" t="e" vm="2">
        <f ca="1">_xlfn.XLOOKUP(B101,'Cashflow Working'!$C:$C,'Cashflow Working'!$D:$D,VALUE("0"),0,1)</f>
        <v>#NAME?</v>
      </c>
      <c r="H101" s="199"/>
      <c r="I101" s="20" t="e" vm="1">
        <f t="shared" ca="1" si="1"/>
        <v>#NAME?</v>
      </c>
    </row>
    <row r="102" spans="1:9" x14ac:dyDescent="0.45">
      <c r="B102" t="s">
        <v>1397</v>
      </c>
      <c r="C102" s="203" t="e" vm="2">
        <f ca="1">_xlfn.XLOOKUP(B102,'Consol (TB)'!C:C,'Consol (TB)'!F:F,VALUE("0"),0,1)</f>
        <v>#NAME?</v>
      </c>
      <c r="D102" s="203" t="e" vm="2">
        <f ca="1">_xlfn.XLOOKUP(B102,'Consol (TB)'!C:C,'Consol (TB)'!H:H,VALUE("0"),0,1)</f>
        <v>#NAME?</v>
      </c>
      <c r="E102" t="s">
        <v>1736</v>
      </c>
      <c r="F102" s="146" t="e" vm="2">
        <f ca="1">_xlfn.XLOOKUP(B102,'Cashflow Working'!$3:$3,'Cashflow Working'!$4:$4,VALUE("0"),0,1)</f>
        <v>#NAME?</v>
      </c>
      <c r="G102" s="199" t="e" vm="2">
        <f ca="1">_xlfn.XLOOKUP(B102,'Cashflow Working'!$C:$C,'Cashflow Working'!$D:$D,VALUE("0"),0,1)</f>
        <v>#NAME?</v>
      </c>
      <c r="H102" s="199"/>
      <c r="I102" s="20" t="e" vm="1">
        <f t="shared" ca="1" si="1"/>
        <v>#NAME?</v>
      </c>
    </row>
    <row r="103" spans="1:9" x14ac:dyDescent="0.45">
      <c r="A103">
        <v>21200100</v>
      </c>
      <c r="B103" t="s">
        <v>1147</v>
      </c>
      <c r="C103" s="203" t="e" vm="2">
        <f ca="1">_xlfn.XLOOKUP(B103,'Consol (TB)'!C:C,'Consol (TB)'!F:F,VALUE("0"),0,1)</f>
        <v>#NAME?</v>
      </c>
      <c r="D103" s="203" t="e" vm="2">
        <f ca="1">_xlfn.XLOOKUP(B103,'Consol (TB)'!C:C,'Consol (TB)'!H:H,VALUE("0"),0,1)</f>
        <v>#NAME?</v>
      </c>
      <c r="E103" t="s">
        <v>1736</v>
      </c>
      <c r="F103" s="146" t="e" vm="2">
        <f ca="1">_xlfn.XLOOKUP(B103,'Cashflow Working'!$3:$3,'Cashflow Working'!$4:$4,VALUE("0"),0,1)</f>
        <v>#NAME?</v>
      </c>
      <c r="G103" s="199" t="e" vm="2">
        <f ca="1">_xlfn.XLOOKUP(B103,'Cashflow Working'!$C:$C,'Cashflow Working'!$D:$D,VALUE("0"),0,1)</f>
        <v>#NAME?</v>
      </c>
      <c r="H103" s="199"/>
      <c r="I103" s="20" t="e" vm="1">
        <f t="shared" ca="1" si="1"/>
        <v>#NAME?</v>
      </c>
    </row>
    <row r="104" spans="1:9" x14ac:dyDescent="0.45">
      <c r="B104" t="s">
        <v>1424</v>
      </c>
      <c r="C104" s="203" t="e" vm="2">
        <f ca="1">_xlfn.XLOOKUP(B104,'Consol (TB)'!C:C,'Consol (TB)'!F:F,VALUE("0"),0,1)</f>
        <v>#NAME?</v>
      </c>
      <c r="D104" s="203" t="e" vm="2">
        <f ca="1">_xlfn.XLOOKUP(B104,'Consol (TB)'!C:C,'Consol (TB)'!H:H,VALUE("0"),0,1)</f>
        <v>#NAME?</v>
      </c>
      <c r="E104" t="s">
        <v>1736</v>
      </c>
      <c r="F104" s="146" t="e" vm="2">
        <f ca="1">_xlfn.XLOOKUP(B104,'Cashflow Working'!$3:$3,'Cashflow Working'!$4:$4,VALUE("0"),0,1)</f>
        <v>#NAME?</v>
      </c>
      <c r="G104" s="199" t="e" vm="2">
        <f ca="1">_xlfn.XLOOKUP(B104,'Cashflow Working'!$C:$C,'Cashflow Working'!$D:$D,VALUE("0"),0,1)</f>
        <v>#NAME?</v>
      </c>
      <c r="H104" s="199"/>
      <c r="I104" s="20" t="e" vm="1">
        <f t="shared" ca="1" si="1"/>
        <v>#NAME?</v>
      </c>
    </row>
    <row r="105" spans="1:9" x14ac:dyDescent="0.45">
      <c r="A105">
        <v>21200150</v>
      </c>
      <c r="B105" t="s">
        <v>1148</v>
      </c>
      <c r="C105" s="203" t="e" vm="2">
        <f ca="1">_xlfn.XLOOKUP(B105,'Consol (TB)'!C:C,'Consol (TB)'!F:F,VALUE("0"),0,1)</f>
        <v>#NAME?</v>
      </c>
      <c r="D105" s="203" t="e" vm="2">
        <f ca="1">_xlfn.XLOOKUP(B105,'Consol (TB)'!C:C,'Consol (TB)'!H:H,VALUE("0"),0,1)</f>
        <v>#NAME?</v>
      </c>
      <c r="E105" t="s">
        <v>1736</v>
      </c>
      <c r="F105" s="146" t="e" vm="2">
        <f ca="1">_xlfn.XLOOKUP(B105,'Cashflow Working'!$3:$3,'Cashflow Working'!$4:$4,VALUE("0"),0,1)</f>
        <v>#NAME?</v>
      </c>
      <c r="G105" s="199" t="e" vm="2">
        <f ca="1">_xlfn.XLOOKUP(B105,'Cashflow Working'!$C:$C,'Cashflow Working'!$D:$D,VALUE("0"),0,1)</f>
        <v>#NAME?</v>
      </c>
      <c r="H105" s="199"/>
      <c r="I105" s="20" t="e" vm="1">
        <f t="shared" ca="1" si="1"/>
        <v>#NAME?</v>
      </c>
    </row>
    <row r="106" spans="1:9" x14ac:dyDescent="0.45">
      <c r="B106" t="s">
        <v>1428</v>
      </c>
      <c r="C106" s="203" t="e" vm="2">
        <f ca="1">_xlfn.XLOOKUP(B106,'Consol (TB)'!C:C,'Consol (TB)'!F:F,VALUE("0"),0,1)</f>
        <v>#NAME?</v>
      </c>
      <c r="D106" s="203" t="e" vm="2">
        <f ca="1">_xlfn.XLOOKUP(B106,'Consol (TB)'!C:C,'Consol (TB)'!H:H,VALUE("0"),0,1)</f>
        <v>#NAME?</v>
      </c>
      <c r="E106" t="s">
        <v>1736</v>
      </c>
      <c r="F106" s="146" t="e" vm="2">
        <f ca="1">_xlfn.XLOOKUP(B106,'Cashflow Working'!$3:$3,'Cashflow Working'!$4:$4,VALUE("0"),0,1)</f>
        <v>#NAME?</v>
      </c>
      <c r="G106" s="199" t="e" vm="2">
        <f ca="1">_xlfn.XLOOKUP(B106,'Cashflow Working'!$C:$C,'Cashflow Working'!$D:$D,VALUE("0"),0,1)</f>
        <v>#NAME?</v>
      </c>
      <c r="H106" s="199"/>
      <c r="I106" s="20" t="e" vm="1">
        <f t="shared" ca="1" si="1"/>
        <v>#NAME?</v>
      </c>
    </row>
    <row r="107" spans="1:9" x14ac:dyDescent="0.45">
      <c r="B107" t="s">
        <v>1429</v>
      </c>
      <c r="C107" s="203" t="e" vm="2">
        <f ca="1">_xlfn.XLOOKUP(B107,'Consol (TB)'!C:C,'Consol (TB)'!F:F,VALUE("0"),0,1)</f>
        <v>#NAME?</v>
      </c>
      <c r="D107" s="203" t="e" vm="2">
        <f ca="1">_xlfn.XLOOKUP(B107,'Consol (TB)'!C:C,'Consol (TB)'!H:H,VALUE("0"),0,1)</f>
        <v>#NAME?</v>
      </c>
      <c r="E107" t="s">
        <v>1736</v>
      </c>
      <c r="F107" s="146" t="e" vm="2">
        <f ca="1">_xlfn.XLOOKUP(B107,'Cashflow Working'!$3:$3,'Cashflow Working'!$4:$4,VALUE("0"),0,1)</f>
        <v>#NAME?</v>
      </c>
      <c r="G107" s="199" t="e" vm="2">
        <f ca="1">_xlfn.XLOOKUP(B107,'Cashflow Working'!$C:$C,'Cashflow Working'!$D:$D,VALUE("0"),0,1)</f>
        <v>#NAME?</v>
      </c>
      <c r="H107" s="199"/>
      <c r="I107" s="20" t="e" vm="1">
        <f t="shared" ca="1" si="1"/>
        <v>#NAME?</v>
      </c>
    </row>
    <row r="108" spans="1:9" x14ac:dyDescent="0.45">
      <c r="A108">
        <v>21200170</v>
      </c>
      <c r="B108" t="s">
        <v>1149</v>
      </c>
      <c r="C108" s="203" t="e" vm="2">
        <f ca="1">_xlfn.XLOOKUP(B108,'Consol (TB)'!C:C,'Consol (TB)'!F:F,VALUE("0"),0,1)</f>
        <v>#NAME?</v>
      </c>
      <c r="D108" s="203" t="e" vm="2">
        <f ca="1">_xlfn.XLOOKUP(B108,'Consol (TB)'!C:C,'Consol (TB)'!H:H,VALUE("0"),0,1)</f>
        <v>#NAME?</v>
      </c>
      <c r="E108" t="s">
        <v>1736</v>
      </c>
      <c r="F108" s="146" t="e" vm="2">
        <f ca="1">_xlfn.XLOOKUP(B108,'Cashflow Working'!$3:$3,'Cashflow Working'!$4:$4,VALUE("0"),0,1)</f>
        <v>#NAME?</v>
      </c>
      <c r="G108" s="199" t="e" vm="2">
        <f ca="1">_xlfn.XLOOKUP(B108,'Cashflow Working'!$C:$C,'Cashflow Working'!$D:$D,VALUE("0"),0,1)</f>
        <v>#NAME?</v>
      </c>
      <c r="H108" s="199"/>
      <c r="I108" s="20" t="e" vm="1">
        <f t="shared" ca="1" si="1"/>
        <v>#NAME?</v>
      </c>
    </row>
    <row r="109" spans="1:9" x14ac:dyDescent="0.45">
      <c r="A109">
        <v>21200180</v>
      </c>
      <c r="B109" t="s">
        <v>1150</v>
      </c>
      <c r="C109" s="203" t="e" vm="2">
        <f ca="1">_xlfn.XLOOKUP(B109,'Consol (TB)'!C:C,'Consol (TB)'!F:F,VALUE("0"),0,1)</f>
        <v>#NAME?</v>
      </c>
      <c r="D109" s="203" t="e" vm="2">
        <f ca="1">_xlfn.XLOOKUP(B109,'Consol (TB)'!C:C,'Consol (TB)'!H:H,VALUE("0"),0,1)</f>
        <v>#NAME?</v>
      </c>
      <c r="E109" t="s">
        <v>1667</v>
      </c>
      <c r="F109" s="146" t="e" vm="2">
        <f ca="1">_xlfn.XLOOKUP(B109,'Cashflow Working'!$3:$3,'Cashflow Working'!$4:$4,VALUE("0"),0,1)</f>
        <v>#NAME?</v>
      </c>
      <c r="G109" s="199" t="e" vm="2">
        <f ca="1">_xlfn.XLOOKUP(B109,'Cashflow Working'!$C:$C,'Cashflow Working'!$D:$D,VALUE("0"),0,1)</f>
        <v>#NAME?</v>
      </c>
      <c r="H109" s="199"/>
      <c r="I109" s="20" t="e" vm="1">
        <f t="shared" ca="1" si="1"/>
        <v>#NAME?</v>
      </c>
    </row>
    <row r="110" spans="1:9" x14ac:dyDescent="0.45">
      <c r="A110">
        <v>21200190</v>
      </c>
      <c r="B110" t="s">
        <v>1151</v>
      </c>
      <c r="C110" s="203" t="e" vm="2">
        <f ca="1">_xlfn.XLOOKUP(B110,'Consol (TB)'!C:C,'Consol (TB)'!F:F,VALUE("0"),0,1)</f>
        <v>#NAME?</v>
      </c>
      <c r="D110" s="203" t="e" vm="2">
        <f ca="1">_xlfn.XLOOKUP(B110,'Consol (TB)'!C:C,'Consol (TB)'!H:H,VALUE("0"),0,1)</f>
        <v>#NAME?</v>
      </c>
      <c r="E110" t="s">
        <v>1667</v>
      </c>
      <c r="F110" s="146" t="e" vm="2">
        <f ca="1">_xlfn.XLOOKUP(B110,'Cashflow Working'!$3:$3,'Cashflow Working'!$4:$4,VALUE("0"),0,1)</f>
        <v>#NAME?</v>
      </c>
      <c r="G110" s="199" t="e" vm="2">
        <f ca="1">_xlfn.XLOOKUP(B110,'Cashflow Working'!$C:$C,'Cashflow Working'!$D:$D,VALUE("0"),0,1)</f>
        <v>#NAME?</v>
      </c>
      <c r="H110" s="199"/>
      <c r="I110" s="20" t="e" vm="1">
        <f t="shared" ca="1" si="1"/>
        <v>#NAME?</v>
      </c>
    </row>
    <row r="111" spans="1:9" x14ac:dyDescent="0.45">
      <c r="A111">
        <v>21200200</v>
      </c>
      <c r="B111" t="s">
        <v>1152</v>
      </c>
      <c r="C111" s="203" t="e" vm="2">
        <f ca="1">_xlfn.XLOOKUP(B111,'Consol (TB)'!C:C,'Consol (TB)'!F:F,VALUE("0"),0,1)</f>
        <v>#NAME?</v>
      </c>
      <c r="D111" s="203" t="e" vm="2">
        <f ca="1">_xlfn.XLOOKUP(B111,'Consol (TB)'!C:C,'Consol (TB)'!H:H,VALUE("0"),0,1)</f>
        <v>#NAME?</v>
      </c>
      <c r="E111" t="s">
        <v>1667</v>
      </c>
      <c r="F111" s="146" t="e" vm="2">
        <f ca="1">_xlfn.XLOOKUP(B111,'Cashflow Working'!$3:$3,'Cashflow Working'!$4:$4,VALUE("0"),0,1)</f>
        <v>#NAME?</v>
      </c>
      <c r="G111" s="199" t="e" vm="2">
        <f ca="1">_xlfn.XLOOKUP(B111,'Cashflow Working'!$C:$C,'Cashflow Working'!$D:$D,VALUE("0"),0,1)</f>
        <v>#NAME?</v>
      </c>
      <c r="H111" s="199"/>
      <c r="I111" s="20" t="e" vm="1">
        <f t="shared" ca="1" si="1"/>
        <v>#NAME?</v>
      </c>
    </row>
    <row r="112" spans="1:9" x14ac:dyDescent="0.45">
      <c r="A112">
        <v>22100010</v>
      </c>
      <c r="B112" t="s">
        <v>1153</v>
      </c>
      <c r="C112" s="203" t="e" vm="2">
        <f ca="1">_xlfn.XLOOKUP(B112,'Consol (TB)'!C:C,'Consol (TB)'!F:F,VALUE("0"),0,1)</f>
        <v>#NAME?</v>
      </c>
      <c r="D112" s="203" t="e" vm="2">
        <f ca="1">_xlfn.XLOOKUP(B112,'Consol (TB)'!C:C,'Consol (TB)'!H:H,VALUE("0"),0,1)</f>
        <v>#NAME?</v>
      </c>
      <c r="E112" t="s">
        <v>1667</v>
      </c>
      <c r="F112" s="146" t="e" vm="2">
        <f ca="1">_xlfn.XLOOKUP(B112,'Cashflow Working'!$3:$3,'Cashflow Working'!$4:$4,VALUE("0"),0,1)</f>
        <v>#NAME?</v>
      </c>
      <c r="G112" s="199" t="e" vm="2">
        <f ca="1">_xlfn.XLOOKUP(B112,'Cashflow Working'!$C:$C,'Cashflow Working'!$D:$D,VALUE("0"),0,1)</f>
        <v>#NAME?</v>
      </c>
      <c r="H112" s="199"/>
      <c r="I112" s="20" t="e" vm="1">
        <f t="shared" ca="1" si="1"/>
        <v>#NAME?</v>
      </c>
    </row>
    <row r="113" spans="1:9" x14ac:dyDescent="0.45">
      <c r="A113">
        <v>22100020</v>
      </c>
      <c r="B113" t="s">
        <v>1154</v>
      </c>
      <c r="C113" s="203" t="e" vm="2">
        <f ca="1">_xlfn.XLOOKUP(B113,'Consol (TB)'!C:C,'Consol (TB)'!F:F,VALUE("0"),0,1)</f>
        <v>#NAME?</v>
      </c>
      <c r="D113" s="203" t="e" vm="2">
        <f ca="1">_xlfn.XLOOKUP(B113,'Consol (TB)'!C:C,'Consol (TB)'!H:H,VALUE("0"),0,1)</f>
        <v>#NAME?</v>
      </c>
      <c r="E113" t="s">
        <v>1753</v>
      </c>
      <c r="F113" s="146" t="e" vm="2">
        <f ca="1">_xlfn.XLOOKUP(B113,'Cashflow Working'!$3:$3,'Cashflow Working'!$4:$4,VALUE("0"),0,1)</f>
        <v>#NAME?</v>
      </c>
      <c r="G113" s="199" t="e" vm="2">
        <f ca="1">_xlfn.XLOOKUP(B113,'Cashflow Working'!$C:$C,'Cashflow Working'!$D:$D,VALUE("0"),0,1)</f>
        <v>#NAME?</v>
      </c>
      <c r="H113" s="199"/>
      <c r="I113" s="20" t="e" vm="1">
        <f t="shared" ca="1" si="1"/>
        <v>#NAME?</v>
      </c>
    </row>
    <row r="114" spans="1:9" x14ac:dyDescent="0.45">
      <c r="A114">
        <v>22100040</v>
      </c>
      <c r="B114" t="s">
        <v>1155</v>
      </c>
      <c r="C114" s="203" t="e" vm="2">
        <f ca="1">_xlfn.XLOOKUP(B114,'Consol (TB)'!C:C,'Consol (TB)'!F:F,VALUE("0"),0,1)</f>
        <v>#NAME?</v>
      </c>
      <c r="D114" s="203" t="e" vm="2">
        <f ca="1">_xlfn.XLOOKUP(B114,'Consol (TB)'!C:C,'Consol (TB)'!H:H,VALUE("0"),0,1)</f>
        <v>#NAME?</v>
      </c>
      <c r="E114" t="s">
        <v>1753</v>
      </c>
      <c r="F114" s="146" t="e" vm="2">
        <f ca="1">_xlfn.XLOOKUP(B114,'Cashflow Working'!$3:$3,'Cashflow Working'!$4:$4,VALUE("0"),0,1)</f>
        <v>#NAME?</v>
      </c>
      <c r="G114" s="199" t="e" vm="2">
        <f ca="1">_xlfn.XLOOKUP(B114,'Cashflow Working'!$C:$C,'Cashflow Working'!$D:$D,VALUE("0"),0,1)</f>
        <v>#NAME?</v>
      </c>
      <c r="H114" s="199"/>
      <c r="I114" s="20" t="e" vm="1">
        <f t="shared" ca="1" si="1"/>
        <v>#NAME?</v>
      </c>
    </row>
    <row r="115" spans="1:9" x14ac:dyDescent="0.45">
      <c r="B115" t="s">
        <v>1426</v>
      </c>
      <c r="C115" s="203" t="e" vm="2">
        <f ca="1">_xlfn.XLOOKUP(B115,'Consol (TB)'!C:C,'Consol (TB)'!F:F,VALUE("0"),0,1)</f>
        <v>#NAME?</v>
      </c>
      <c r="D115" s="203" t="e" vm="2">
        <f ca="1">_xlfn.XLOOKUP(B115,'Consol (TB)'!C:C,'Consol (TB)'!H:H,VALUE("0"),0,1)</f>
        <v>#NAME?</v>
      </c>
      <c r="E115" t="s">
        <v>1753</v>
      </c>
      <c r="F115" s="146" t="e" vm="2">
        <f ca="1">_xlfn.XLOOKUP(B115,'Cashflow Working'!$3:$3,'Cashflow Working'!$4:$4,VALUE("0"),0,1)</f>
        <v>#NAME?</v>
      </c>
      <c r="G115" s="199" t="e" vm="2">
        <f ca="1">_xlfn.XLOOKUP(B115,'Cashflow Working'!$C:$C,'Cashflow Working'!$D:$D,VALUE("0"),0,1)</f>
        <v>#NAME?</v>
      </c>
      <c r="H115" s="199"/>
      <c r="I115" s="20" t="e" vm="1">
        <f t="shared" ca="1" si="1"/>
        <v>#NAME?</v>
      </c>
    </row>
    <row r="116" spans="1:9" x14ac:dyDescent="0.45">
      <c r="B116" t="s">
        <v>1425</v>
      </c>
      <c r="C116" s="203" t="e" vm="2">
        <f ca="1">_xlfn.XLOOKUP(B116,'Consol (TB)'!C:C,'Consol (TB)'!F:F,VALUE("0"),0,1)</f>
        <v>#NAME?</v>
      </c>
      <c r="D116" s="203" t="e" vm="2">
        <f ca="1">_xlfn.XLOOKUP(B116,'Consol (TB)'!C:C,'Consol (TB)'!H:H,VALUE("0"),0,1)</f>
        <v>#NAME?</v>
      </c>
      <c r="E116" t="s">
        <v>1755</v>
      </c>
      <c r="F116" s="146" t="e" vm="2">
        <f ca="1">_xlfn.XLOOKUP(B116,'Cashflow Working'!$3:$3,'Cashflow Working'!$4:$4,VALUE("0"),0,1)</f>
        <v>#NAME?</v>
      </c>
      <c r="G116" s="199" t="e" vm="2">
        <f ca="1">_xlfn.XLOOKUP(B116,'Cashflow Working'!$C:$C,'Cashflow Working'!$D:$D,VALUE("0"),0,1)</f>
        <v>#NAME?</v>
      </c>
      <c r="H116" s="199"/>
      <c r="I116" s="20" t="e" vm="1">
        <f t="shared" ca="1" si="1"/>
        <v>#NAME?</v>
      </c>
    </row>
    <row r="117" spans="1:9" x14ac:dyDescent="0.45">
      <c r="B117" t="s">
        <v>1395</v>
      </c>
      <c r="C117" s="203" t="e" vm="2">
        <f ca="1">_xlfn.XLOOKUP(B117,'Consol (TB)'!C:C,'Consol (TB)'!F:F,VALUE("0"),0,1)</f>
        <v>#NAME?</v>
      </c>
      <c r="D117" s="203" t="e" vm="2">
        <f ca="1">_xlfn.XLOOKUP(B117,'Consol (TB)'!C:C,'Consol (TB)'!H:H,VALUE("0"),0,1)</f>
        <v>#NAME?</v>
      </c>
      <c r="E117" t="s">
        <v>1667</v>
      </c>
      <c r="F117" s="146" t="e" vm="2">
        <f ca="1">_xlfn.XLOOKUP(B117,'Cashflow Working'!$3:$3,'Cashflow Working'!$4:$4,VALUE("0"),0,1)</f>
        <v>#NAME?</v>
      </c>
      <c r="G117" s="199" t="e" vm="2">
        <f ca="1">_xlfn.XLOOKUP(B117,'Cashflow Working'!$C:$C,'Cashflow Working'!$D:$D,VALUE("0"),0,1)</f>
        <v>#NAME?</v>
      </c>
      <c r="H117" s="199"/>
      <c r="I117" s="20" t="e" vm="1">
        <f t="shared" ca="1" si="1"/>
        <v>#NAME?</v>
      </c>
    </row>
    <row r="118" spans="1:9" x14ac:dyDescent="0.45">
      <c r="B118" t="s">
        <v>1396</v>
      </c>
      <c r="C118" s="203" t="e" vm="2">
        <f ca="1">_xlfn.XLOOKUP(B118,'Consol (TB)'!C:C,'Consol (TB)'!F:F,VALUE("0"),0,1)</f>
        <v>#NAME?</v>
      </c>
      <c r="D118" s="203" t="e" vm="2">
        <f ca="1">_xlfn.XLOOKUP(B118,'Consol (TB)'!C:C,'Consol (TB)'!H:H,VALUE("0"),0,1)</f>
        <v>#NAME?</v>
      </c>
      <c r="E118" t="s">
        <v>1667</v>
      </c>
      <c r="F118" s="146" t="e" vm="2">
        <f ca="1">_xlfn.XLOOKUP(B118,'Cashflow Working'!$3:$3,'Cashflow Working'!$4:$4,VALUE("0"),0,1)</f>
        <v>#NAME?</v>
      </c>
      <c r="G118" s="199" t="e" vm="2">
        <f ca="1">_xlfn.XLOOKUP(B118,'Cashflow Working'!$C:$C,'Cashflow Working'!$D:$D,VALUE("0"),0,1)</f>
        <v>#NAME?</v>
      </c>
      <c r="H118" s="199"/>
      <c r="I118" s="20" t="e" vm="1">
        <f t="shared" ca="1" si="1"/>
        <v>#NAME?</v>
      </c>
    </row>
    <row r="119" spans="1:9" x14ac:dyDescent="0.45">
      <c r="A119">
        <v>22100100</v>
      </c>
      <c r="B119" t="s">
        <v>1156</v>
      </c>
      <c r="C119" s="203" t="e" vm="2">
        <f ca="1">_xlfn.XLOOKUP(B119,'Consol (TB)'!C:C,'Consol (TB)'!F:F,VALUE("0"),0,1)</f>
        <v>#NAME?</v>
      </c>
      <c r="D119" s="203" t="e" vm="2">
        <f ca="1">_xlfn.XLOOKUP(B119,'Consol (TB)'!C:C,'Consol (TB)'!H:H,VALUE("0"),0,1)</f>
        <v>#NAME?</v>
      </c>
      <c r="E119" t="s">
        <v>1753</v>
      </c>
      <c r="F119" s="146" t="e" vm="2">
        <f ca="1">_xlfn.XLOOKUP(B119,'Cashflow Working'!$3:$3,'Cashflow Working'!$4:$4,VALUE("0"),0,1)</f>
        <v>#NAME?</v>
      </c>
      <c r="G119" s="199" t="e" vm="2">
        <f ca="1">_xlfn.XLOOKUP(B119,'Cashflow Working'!$C:$C,'Cashflow Working'!$D:$D,VALUE("0"),0,1)</f>
        <v>#NAME?</v>
      </c>
      <c r="H119" s="199"/>
      <c r="I119" s="20" t="e" vm="1">
        <f t="shared" ca="1" si="1"/>
        <v>#NAME?</v>
      </c>
    </row>
    <row r="120" spans="1:9" x14ac:dyDescent="0.45">
      <c r="A120">
        <v>22220010</v>
      </c>
      <c r="B120" t="s">
        <v>1157</v>
      </c>
      <c r="C120" s="203" t="e" vm="2">
        <f ca="1">_xlfn.XLOOKUP(B120,'Consol (TB)'!C:C,'Consol (TB)'!F:F,VALUE("0"),0,1)</f>
        <v>#NAME?</v>
      </c>
      <c r="D120" s="203" t="e" vm="2">
        <f ca="1">_xlfn.XLOOKUP(B120,'Consol (TB)'!C:C,'Consol (TB)'!H:H,VALUE("0"),0,1)</f>
        <v>#NAME?</v>
      </c>
      <c r="E120" t="s">
        <v>1667</v>
      </c>
      <c r="F120" s="146" t="e" vm="2">
        <f ca="1">_xlfn.XLOOKUP(B120,'Cashflow Working'!$3:$3,'Cashflow Working'!$4:$4,VALUE("0"),0,1)</f>
        <v>#NAME?</v>
      </c>
      <c r="G120" s="199" t="e" vm="2">
        <f ca="1">_xlfn.XLOOKUP(B120,'Cashflow Working'!$C:$C,'Cashflow Working'!$D:$D,VALUE("0"),0,1)</f>
        <v>#NAME?</v>
      </c>
      <c r="H120" s="199"/>
      <c r="I120" s="20" t="e" vm="1">
        <f t="shared" ca="1" si="1"/>
        <v>#NAME?</v>
      </c>
    </row>
    <row r="121" spans="1:9" x14ac:dyDescent="0.45">
      <c r="B121" t="s">
        <v>1532</v>
      </c>
      <c r="C121" s="203" t="e" vm="2">
        <f ca="1">_xlfn.XLOOKUP(B121,'Consol (TB)'!C:C,'Consol (TB)'!F:F,VALUE("0"),0,1)</f>
        <v>#NAME?</v>
      </c>
      <c r="D121" s="203" t="e" vm="2">
        <f ca="1">_xlfn.XLOOKUP(B121,'Consol (TB)'!C:C,'Consol (TB)'!H:H,VALUE("0"),0,1)</f>
        <v>#NAME?</v>
      </c>
      <c r="E121" t="s">
        <v>1667</v>
      </c>
      <c r="F121" s="146" t="e" vm="2">
        <f ca="1">_xlfn.XLOOKUP(B121,'Cashflow Working'!$3:$3,'Cashflow Working'!$4:$4,VALUE("0"),0,1)</f>
        <v>#NAME?</v>
      </c>
      <c r="G121" s="199" t="e" vm="2">
        <f ca="1">_xlfn.XLOOKUP(B121,'Cashflow Working'!$C:$C,'Cashflow Working'!$D:$D,VALUE("0"),0,1)</f>
        <v>#NAME?</v>
      </c>
      <c r="H121" s="199"/>
      <c r="I121" s="20" t="e" vm="1">
        <f t="shared" ca="1" si="1"/>
        <v>#NAME?</v>
      </c>
    </row>
    <row r="122" spans="1:9" x14ac:dyDescent="0.45">
      <c r="A122">
        <v>31000010</v>
      </c>
      <c r="B122" t="s">
        <v>1158</v>
      </c>
      <c r="C122" s="203" t="e" vm="2">
        <f ca="1">_xlfn.XLOOKUP(B122,'Consol (TB)'!C:C,'Consol (TB)'!F:F,VALUE("0"),0,1)</f>
        <v>#NAME?</v>
      </c>
      <c r="D122" s="203" t="e" vm="2">
        <f ca="1">_xlfn.XLOOKUP(B122,'Consol (TB)'!C:C,'Consol (TB)'!H:H,VALUE("0"),0,1)</f>
        <v>#NAME?</v>
      </c>
      <c r="E122" t="s">
        <v>1751</v>
      </c>
      <c r="F122" s="146" t="e" vm="2">
        <f ca="1">_xlfn.XLOOKUP(B122,'Cashflow Working'!$3:$3,'Cashflow Working'!$4:$4,VALUE("0"),0,1)</f>
        <v>#NAME?</v>
      </c>
      <c r="G122" s="199" t="e" vm="2">
        <f ca="1">_xlfn.XLOOKUP(B122,'Cashflow Working'!$C:$C,'Cashflow Working'!$D:$D,VALUE("0"),0,1)</f>
        <v>#NAME?</v>
      </c>
      <c r="H122" s="199"/>
      <c r="I122" s="20" t="e" vm="1">
        <f t="shared" ca="1" si="1"/>
        <v>#NAME?</v>
      </c>
    </row>
    <row r="123" spans="1:9" x14ac:dyDescent="0.45">
      <c r="A123">
        <v>31000020</v>
      </c>
      <c r="B123" t="s">
        <v>1558</v>
      </c>
      <c r="C123" s="203" t="e" vm="2">
        <f ca="1">_xlfn.XLOOKUP(B123,'Consol (TB)'!C:C,'Consol (TB)'!F:F,VALUE("0"),0,1)</f>
        <v>#NAME?</v>
      </c>
      <c r="D123" s="203" t="e" vm="2">
        <f ca="1">_xlfn.XLOOKUP(B123,'Consol (TB)'!C:C,'Consol (TB)'!H:H,VALUE("0"),0,1)</f>
        <v>#NAME?</v>
      </c>
      <c r="E123" t="s">
        <v>1751</v>
      </c>
      <c r="F123" s="146" t="e" vm="2">
        <f ca="1">_xlfn.XLOOKUP(B123,'Cashflow Working'!$3:$3,'Cashflow Working'!$4:$4,VALUE("0"),0,1)</f>
        <v>#NAME?</v>
      </c>
      <c r="G123" s="199" t="e" vm="2">
        <f ca="1">_xlfn.XLOOKUP(B123,'Cashflow Working'!$C:$C,'Cashflow Working'!$D:$D,VALUE("0"),0,1)</f>
        <v>#NAME?</v>
      </c>
      <c r="H123" s="199"/>
      <c r="I123" s="20" t="e" vm="1">
        <f t="shared" ca="1" si="1"/>
        <v>#NAME?</v>
      </c>
    </row>
    <row r="124" spans="1:9" x14ac:dyDescent="0.45">
      <c r="A124">
        <v>32000010</v>
      </c>
      <c r="B124" t="s">
        <v>1159</v>
      </c>
      <c r="C124" s="203" t="e" vm="2">
        <f ca="1">_xlfn.XLOOKUP(B124,'Consol (TB)'!C:C,'Consol (TB)'!F:F,VALUE("0"),0,1)</f>
        <v>#NAME?</v>
      </c>
      <c r="D124" s="203" t="e" vm="2">
        <f ca="1">_xlfn.XLOOKUP(B124,'Consol (TB)'!C:C,'Consol (TB)'!H:H,VALUE("0"),0,1)</f>
        <v>#NAME?</v>
      </c>
      <c r="F124" s="146" t="e" vm="2">
        <f ca="1">_xlfn.XLOOKUP(B124,'Cashflow Working'!$3:$3,'Cashflow Working'!$4:$4,VALUE("0"),0,1)</f>
        <v>#NAME?</v>
      </c>
      <c r="G124" s="199" t="e" vm="2">
        <f ca="1">_xlfn.XLOOKUP(B124,'Cashflow Working'!$C:$C,'Cashflow Working'!$D:$D,VALUE("0"),0,1)</f>
        <v>#NAME?</v>
      </c>
      <c r="H124" s="199" t="e" vm="1">
        <f ca="1">G124</f>
        <v>#NAME?</v>
      </c>
      <c r="I124" s="20" t="e" vm="1">
        <f t="shared" ref="I124:I127" ca="1" si="2">F124-G124+H124</f>
        <v>#NAME?</v>
      </c>
    </row>
    <row r="125" spans="1:9" x14ac:dyDescent="0.45">
      <c r="B125" t="s">
        <v>1384</v>
      </c>
      <c r="C125" s="203" t="e" vm="2">
        <f ca="1">_xlfn.XLOOKUP(B125,'Consol (TB)'!C:C,'Consol (TB)'!F:F,VALUE("0"),0,1)</f>
        <v>#NAME?</v>
      </c>
      <c r="D125" s="203" t="e" vm="2">
        <f ca="1">_xlfn.XLOOKUP(B125,'Consol (TB)'!C:C,'Consol (TB)'!H:H,VALUE("0"),0,1)</f>
        <v>#NAME?</v>
      </c>
      <c r="E125" t="s">
        <v>1751</v>
      </c>
      <c r="F125" s="146" t="e" vm="2">
        <f ca="1">_xlfn.XLOOKUP(B125,'Cashflow Working'!$3:$3,'Cashflow Working'!$4:$4,VALUE("0"),0,1)</f>
        <v>#NAME?</v>
      </c>
      <c r="G125" s="199" t="e" vm="2">
        <f ca="1">_xlfn.XLOOKUP(B125,'Cashflow Working'!$C:$C,'Cashflow Working'!$D:$D,VALUE("0"),0,1)</f>
        <v>#NAME?</v>
      </c>
      <c r="H125" s="199"/>
      <c r="I125" s="20" t="e" vm="1">
        <f t="shared" ca="1" si="2"/>
        <v>#NAME?</v>
      </c>
    </row>
    <row r="126" spans="1:9" x14ac:dyDescent="0.45">
      <c r="B126" t="s">
        <v>1385</v>
      </c>
      <c r="C126" s="203" t="e" vm="2">
        <f ca="1">_xlfn.XLOOKUP(B126,'Consol (TB)'!C:C,'Consol (TB)'!F:F,VALUE("0"),0,1)</f>
        <v>#NAME?</v>
      </c>
      <c r="D126" s="203" t="e" vm="2">
        <f ca="1">_xlfn.XLOOKUP(B126,'Consol (TB)'!C:C,'Consol (TB)'!H:H,VALUE("0"),0,1)</f>
        <v>#NAME?</v>
      </c>
      <c r="E126" t="s">
        <v>1751</v>
      </c>
      <c r="F126" s="146" t="e" vm="2">
        <f ca="1">_xlfn.XLOOKUP(B126,'Cashflow Working'!$3:$3,'Cashflow Working'!$4:$4,VALUE("0"),0,1)</f>
        <v>#NAME?</v>
      </c>
      <c r="G126" s="199" t="e" vm="2">
        <f ca="1">_xlfn.XLOOKUP(B126,'Cashflow Working'!$C:$C,'Cashflow Working'!$D:$D,VALUE("0"),0,1)</f>
        <v>#NAME?</v>
      </c>
      <c r="H126" s="199"/>
      <c r="I126" s="20" t="e" vm="1">
        <f t="shared" ca="1" si="2"/>
        <v>#NAME?</v>
      </c>
    </row>
    <row r="127" spans="1:9" x14ac:dyDescent="0.45">
      <c r="B127" t="s">
        <v>1333</v>
      </c>
      <c r="C127" s="203" t="e" vm="2">
        <f ca="1">_xlfn.XLOOKUP(B127,'Consol (TB)'!C:C,'Consol (TB)'!F:F,VALUE("0"),0,1)</f>
        <v>#NAME?</v>
      </c>
      <c r="D127" s="203" t="e" vm="2">
        <f ca="1">_xlfn.XLOOKUP(B127,'Consol (TB)'!C:C,'Consol (TB)'!H:H,VALUE("0"),0,1)</f>
        <v>#NAME?</v>
      </c>
      <c r="E127" t="s">
        <v>1751</v>
      </c>
      <c r="F127" s="146" t="e" vm="2">
        <f ca="1">_xlfn.XLOOKUP(B127,'Cashflow Working'!$3:$3,'Cashflow Working'!$4:$4,VALUE("0"),0,1)</f>
        <v>#NAME?</v>
      </c>
      <c r="G127" s="199" t="e" vm="2">
        <f ca="1">_xlfn.XLOOKUP(B127,'Cashflow Working'!$C:$C,'Cashflow Working'!$D:$D,VALUE("0"),0,1)</f>
        <v>#NAME?</v>
      </c>
      <c r="H127" s="199"/>
      <c r="I127" s="20" t="e" vm="1">
        <f t="shared" ca="1" si="2"/>
        <v>#NAME?</v>
      </c>
    </row>
    <row r="128" spans="1:9" x14ac:dyDescent="0.45">
      <c r="B128" t="s">
        <v>1537</v>
      </c>
      <c r="C128" s="203">
        <f>SUM('Consol (TB)'!F128:F352)</f>
        <v>4872496.2900000047</v>
      </c>
      <c r="D128" s="146">
        <f>SUM('Consol (TB)'!H128:H352)</f>
        <v>-2594617.639999995</v>
      </c>
      <c r="E128" t="s">
        <v>1722</v>
      </c>
      <c r="F128" s="146" t="e" vm="2">
        <f ca="1">_xlfn.XLOOKUP(B128,'Cashflow Working'!$3:$3,'Cashflow Working'!$4:$4,VALUE("0"),0,1)</f>
        <v>#NAME?</v>
      </c>
      <c r="G128" s="199" t="e" vm="2">
        <f ca="1">_xlfn.XLOOKUP(B128,'Cashflow Working'!$C:$C,'Cashflow Working'!$D:$D,VALUE("0"),0,1)</f>
        <v>#NAME?</v>
      </c>
      <c r="H128" s="199" t="e" vm="1">
        <f ca="1">-H124</f>
        <v>#NAME?</v>
      </c>
      <c r="I128" s="20" t="e" vm="1">
        <f ca="1">F128-G128+H128</f>
        <v>#NAME?</v>
      </c>
    </row>
    <row r="131" spans="3:9" ht="14.65" thickBot="1" x14ac:dyDescent="0.5">
      <c r="C131" s="202" t="e" vm="1">
        <f ca="1">SUM(C6:C130)</f>
        <v>#NAME?</v>
      </c>
      <c r="D131" s="204" t="e" vm="1">
        <f ca="1">SUM(D6:D130)</f>
        <v>#NAME?</v>
      </c>
      <c r="F131" s="202" t="e" vm="1">
        <f ca="1">SUM(F6:F130)</f>
        <v>#NAME?</v>
      </c>
      <c r="G131" s="202" t="e" vm="1">
        <f ca="1">SUM(G6:G130)</f>
        <v>#NAME?</v>
      </c>
      <c r="H131" s="202"/>
      <c r="I131" s="202" t="e" vm="1">
        <f ca="1">SUM(I6:I130)</f>
        <v>#NAME?</v>
      </c>
    </row>
  </sheetData>
  <autoFilter ref="A5:I131" xr:uid="{988C9409-ED65-46B2-AA0A-24DBF8C59E06}"/>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4456F-1AA7-4975-AC21-1EDF0A13CA5E}">
  <dimension ref="A1:J70"/>
  <sheetViews>
    <sheetView workbookViewId="0">
      <selection activeCell="D1" sqref="D1"/>
    </sheetView>
  </sheetViews>
  <sheetFormatPr defaultRowHeight="14.25" x14ac:dyDescent="0.45"/>
  <cols>
    <col min="1" max="1" width="49.9296875" bestFit="1" customWidth="1"/>
    <col min="2" max="2" width="42.9296875" customWidth="1"/>
    <col min="3" max="3" width="13.53125" customWidth="1"/>
    <col min="4" max="4" width="19.9296875" customWidth="1"/>
    <col min="5" max="5" width="22.06640625" style="16" customWidth="1"/>
    <col min="6" max="6" width="21.33203125" bestFit="1" customWidth="1"/>
    <col min="7" max="7" width="13" customWidth="1"/>
    <col min="8" max="8" width="44.265625" customWidth="1"/>
    <col min="9" max="9" width="9.73046875" bestFit="1" customWidth="1"/>
    <col min="10" max="10" width="28.73046875" bestFit="1" customWidth="1"/>
  </cols>
  <sheetData>
    <row r="1" spans="1:10" x14ac:dyDescent="0.45">
      <c r="A1" s="210" t="s">
        <v>1803</v>
      </c>
      <c r="B1" s="210"/>
      <c r="C1" s="210"/>
    </row>
    <row r="2" spans="1:10" x14ac:dyDescent="0.45">
      <c r="B2" s="37" t="s">
        <v>1807</v>
      </c>
      <c r="F2" s="37" t="s">
        <v>1809</v>
      </c>
      <c r="I2" t="s">
        <v>1806</v>
      </c>
      <c r="J2" t="s">
        <v>1805</v>
      </c>
    </row>
    <row r="3" spans="1:10" x14ac:dyDescent="0.45">
      <c r="A3" t="s">
        <v>1125</v>
      </c>
      <c r="B3">
        <f>_xlfn.XLOOKUP(A3,'Cashflow Working'!$3:$3,'Cashflow Working'!$130:$130,VALUE("0"),0,1)</f>
        <v>0</v>
      </c>
      <c r="C3" s="170">
        <f>'Consol Entries'!D2</f>
        <v>-24500000</v>
      </c>
      <c r="D3" s="211" t="s">
        <v>1804</v>
      </c>
      <c r="E3" s="16">
        <f>-C3</f>
        <v>24500000</v>
      </c>
      <c r="F3" s="24">
        <f>SUM(C3:E3)</f>
        <v>0</v>
      </c>
      <c r="G3" s="24"/>
      <c r="I3" s="171">
        <v>16441950</v>
      </c>
      <c r="J3" s="16">
        <v>8058050</v>
      </c>
    </row>
    <row r="4" spans="1:10" x14ac:dyDescent="0.45">
      <c r="A4" s="173"/>
      <c r="B4" s="173" t="s">
        <v>1744</v>
      </c>
      <c r="C4" s="170"/>
      <c r="D4" s="211"/>
      <c r="E4" s="16">
        <v>-16441950</v>
      </c>
      <c r="F4" s="24">
        <f t="shared" ref="F4:F6" si="0">SUM(C4:E4)</f>
        <v>-16441950</v>
      </c>
      <c r="G4" s="24"/>
      <c r="I4" s="171"/>
      <c r="J4" s="16"/>
    </row>
    <row r="5" spans="1:10" x14ac:dyDescent="0.45">
      <c r="A5" s="173"/>
      <c r="B5" s="173" t="s">
        <v>1744</v>
      </c>
      <c r="C5" s="170"/>
      <c r="D5" s="211"/>
      <c r="E5" s="16">
        <f>-SUM(E40:E48)</f>
        <v>3685622.88</v>
      </c>
      <c r="F5" s="24">
        <f t="shared" si="0"/>
        <v>3685622.88</v>
      </c>
      <c r="G5" s="24"/>
      <c r="I5" s="171"/>
      <c r="J5" s="16"/>
    </row>
    <row r="6" spans="1:10" x14ac:dyDescent="0.45">
      <c r="A6" s="173"/>
      <c r="B6" s="173" t="s">
        <v>1751</v>
      </c>
      <c r="C6" s="170"/>
      <c r="D6" s="211"/>
      <c r="E6" s="16">
        <f>-E3-E4</f>
        <v>-8058050</v>
      </c>
      <c r="F6" s="24">
        <f t="shared" si="0"/>
        <v>-8058050</v>
      </c>
      <c r="G6" s="24"/>
      <c r="I6" s="171"/>
      <c r="J6" s="16"/>
    </row>
    <row r="7" spans="1:10" x14ac:dyDescent="0.45">
      <c r="A7" t="s">
        <v>1384</v>
      </c>
      <c r="B7" t="str">
        <f>_xlfn.XLOOKUP(A7,'Cashflow Working'!$3:$3,'Cashflow Working'!$130:$130,VALUE("0"),0,1)</f>
        <v>Proceeds from issue of shares</v>
      </c>
      <c r="C7" s="170">
        <f>'Consol Entries'!D3</f>
        <v>506961.53899999999</v>
      </c>
      <c r="D7" s="211"/>
      <c r="E7" s="16">
        <f>-C7</f>
        <v>-506961.53899999999</v>
      </c>
      <c r="F7" s="24">
        <f t="shared" ref="F7:F16" si="1">SUM(C7:E7)</f>
        <v>0</v>
      </c>
      <c r="G7" s="24"/>
      <c r="H7" t="s">
        <v>1533</v>
      </c>
    </row>
    <row r="8" spans="1:10" x14ac:dyDescent="0.45">
      <c r="A8" t="s">
        <v>1384</v>
      </c>
      <c r="B8" t="str">
        <f>_xlfn.XLOOKUP(A8,'Cashflow Working'!$3:$3,'Cashflow Working'!$130:$130,VALUE("0"),0,1)</f>
        <v>Proceeds from issue of shares</v>
      </c>
      <c r="C8" s="170">
        <f>'Consol Entries'!D4</f>
        <v>217269.231</v>
      </c>
      <c r="D8" s="211"/>
      <c r="E8" s="16">
        <f>-C8</f>
        <v>-217269.231</v>
      </c>
      <c r="F8" s="24">
        <f t="shared" si="1"/>
        <v>0</v>
      </c>
      <c r="G8" s="24"/>
      <c r="H8" t="s">
        <v>1534</v>
      </c>
    </row>
    <row r="9" spans="1:10" x14ac:dyDescent="0.45">
      <c r="A9" t="s">
        <v>1385</v>
      </c>
      <c r="B9" t="str">
        <f>_xlfn.XLOOKUP(A9,'Cashflow Working'!$3:$3,'Cashflow Working'!$130:$130,VALUE("0"),0,1)</f>
        <v>Proceeds from issue of shares</v>
      </c>
      <c r="C9" s="170">
        <f>'Consol Entries'!D5</f>
        <v>544011.0199999999</v>
      </c>
      <c r="D9" s="211"/>
      <c r="E9" s="16">
        <f>-C9</f>
        <v>-544011.0199999999</v>
      </c>
      <c r="F9" s="24">
        <f t="shared" si="1"/>
        <v>0</v>
      </c>
      <c r="G9" s="24"/>
      <c r="H9" t="s">
        <v>1535</v>
      </c>
    </row>
    <row r="10" spans="1:10" x14ac:dyDescent="0.45">
      <c r="A10" t="s">
        <v>1333</v>
      </c>
      <c r="B10" t="str">
        <f>_xlfn.XLOOKUP(A10,'Cashflow Working'!$3:$3,'Cashflow Working'!$130:$130,VALUE("0"),0,1)</f>
        <v>Proceeds from issue of shares</v>
      </c>
      <c r="C10" s="170">
        <f>'Consol Entries'!D6</f>
        <v>-350000</v>
      </c>
      <c r="D10" s="211"/>
      <c r="E10" s="16">
        <f>-C10</f>
        <v>350000</v>
      </c>
      <c r="F10" s="24">
        <f t="shared" si="1"/>
        <v>0</v>
      </c>
      <c r="G10" s="24"/>
      <c r="H10" t="s">
        <v>1540</v>
      </c>
    </row>
    <row r="11" spans="1:10" x14ac:dyDescent="0.45">
      <c r="A11" t="s">
        <v>1385</v>
      </c>
      <c r="B11" t="str">
        <f>_xlfn.XLOOKUP(A11,'Cashflow Working'!$3:$3,'Cashflow Working'!$130:$130,VALUE("0"),0,1)</f>
        <v>Proceeds from issue of shares</v>
      </c>
      <c r="C11" s="170">
        <f>'Consol Entries'!D7</f>
        <v>233147.58</v>
      </c>
      <c r="D11" s="211"/>
      <c r="E11" s="16">
        <f>-C11</f>
        <v>-233147.58</v>
      </c>
      <c r="F11" s="24">
        <f t="shared" si="1"/>
        <v>0</v>
      </c>
      <c r="G11" s="24"/>
      <c r="H11" t="s">
        <v>1536</v>
      </c>
    </row>
    <row r="12" spans="1:10" x14ac:dyDescent="0.45">
      <c r="A12" t="s">
        <v>1333</v>
      </c>
      <c r="B12" t="str">
        <f>_xlfn.XLOOKUP(A12,'Cashflow Working'!$3:$3,'Cashflow Working'!$130:$130,VALUE("0"),0,1)</f>
        <v>Proceeds from issue of shares</v>
      </c>
      <c r="C12" s="170">
        <f>'Consol Entries'!D8</f>
        <v>-150000</v>
      </c>
      <c r="D12" s="211"/>
      <c r="E12" s="16">
        <f t="shared" ref="E12:E14" si="2">-C12</f>
        <v>150000</v>
      </c>
      <c r="F12" s="24">
        <f t="shared" si="1"/>
        <v>0</v>
      </c>
      <c r="G12" s="24"/>
      <c r="H12" t="s">
        <v>1541</v>
      </c>
    </row>
    <row r="13" spans="1:10" x14ac:dyDescent="0.45">
      <c r="A13" t="s">
        <v>1385</v>
      </c>
      <c r="B13" t="str">
        <f>_xlfn.XLOOKUP(A13,'Cashflow Working'!$3:$3,'Cashflow Working'!$130:$130,VALUE("0"),0,1)</f>
        <v>Proceeds from issue of shares</v>
      </c>
      <c r="C13" s="170">
        <f>'Consol Entries'!D9</f>
        <v>1479985.703</v>
      </c>
      <c r="D13" s="211"/>
      <c r="E13" s="16">
        <f t="shared" si="2"/>
        <v>-1479985.703</v>
      </c>
      <c r="F13" s="24">
        <f t="shared" si="1"/>
        <v>0</v>
      </c>
      <c r="G13" s="24"/>
      <c r="H13" t="s">
        <v>1795</v>
      </c>
    </row>
    <row r="14" spans="1:10" x14ac:dyDescent="0.45">
      <c r="A14" t="s">
        <v>1385</v>
      </c>
      <c r="B14" t="str">
        <f>_xlfn.XLOOKUP(A14,'Cashflow Working'!$3:$3,'Cashflow Working'!$130:$130,VALUE("0"),0,1)</f>
        <v>Proceeds from issue of shares</v>
      </c>
      <c r="C14" s="170">
        <f>'Consol Entries'!D10</f>
        <v>634279.58699999994</v>
      </c>
      <c r="D14" s="211"/>
      <c r="E14" s="16">
        <f t="shared" si="2"/>
        <v>-634279.58699999994</v>
      </c>
      <c r="F14" s="24">
        <f t="shared" si="1"/>
        <v>0</v>
      </c>
      <c r="G14" s="24"/>
      <c r="H14" t="s">
        <v>1796</v>
      </c>
    </row>
    <row r="15" spans="1:10" x14ac:dyDescent="0.45">
      <c r="A15" t="s">
        <v>1532</v>
      </c>
      <c r="B15" t="str">
        <f>_xlfn.XLOOKUP(A15,'Cashflow Working'!$3:$3,'Cashflow Working'!$130:$130,VALUE("0"),0,1)</f>
        <v>Provisions</v>
      </c>
      <c r="C15" s="170">
        <f>-C8-C11-C12-C14</f>
        <v>-934696.39799999993</v>
      </c>
      <c r="D15" s="211"/>
      <c r="F15" s="172">
        <f t="shared" si="1"/>
        <v>-934696.39799999993</v>
      </c>
      <c r="G15" s="172"/>
    </row>
    <row r="16" spans="1:10" x14ac:dyDescent="0.45">
      <c r="A16" t="s">
        <v>1137</v>
      </c>
      <c r="B16" t="str">
        <f>_xlfn.XLOOKUP(A16,'Cashflow Working'!$3:$3,'Cashflow Working'!$130:$130,VALUE("0"),0,1)</f>
        <v>Proceeds from issue of shares</v>
      </c>
      <c r="C16" s="170">
        <f>'Consol Entries'!D14</f>
        <v>22319041.737999998</v>
      </c>
      <c r="D16" s="211"/>
      <c r="F16" s="172">
        <f t="shared" si="1"/>
        <v>22319041.737999998</v>
      </c>
      <c r="G16" s="172"/>
    </row>
    <row r="20" spans="1:7" x14ac:dyDescent="0.45">
      <c r="A20" t="s">
        <v>1384</v>
      </c>
      <c r="B20" t="str">
        <f>_xlfn.XLOOKUP(A20,'Cashflow Working'!$3:$3,'Cashflow Working'!$130:$130,VALUE("0"),0,1)</f>
        <v>Proceeds from issue of shares</v>
      </c>
      <c r="C20" s="168">
        <f>SUMIFS('BnC (TB-Oct21)'!J:J,'BnC (TB-Oct21)'!I:I,A20)</f>
        <v>-724230.77</v>
      </c>
      <c r="D20" s="211" t="s">
        <v>1804</v>
      </c>
      <c r="E20" s="16">
        <f>-C20</f>
        <v>724230.77</v>
      </c>
      <c r="F20" s="24">
        <f t="shared" ref="F20:F66" si="3">SUM(C20:E20)</f>
        <v>0</v>
      </c>
      <c r="G20" s="24"/>
    </row>
    <row r="21" spans="1:7" x14ac:dyDescent="0.45">
      <c r="A21" t="s">
        <v>1385</v>
      </c>
      <c r="B21" t="str">
        <f>_xlfn.XLOOKUP(A21,'Cashflow Working'!$3:$3,'Cashflow Working'!$130:$130,VALUE("0"),0,1)</f>
        <v>Proceeds from issue of shares</v>
      </c>
      <c r="C21" s="168">
        <f>SUMIFS('BnC (TB-Oct21)'!J:J,'BnC (TB-Oct21)'!I:I,A21)</f>
        <v>-777158.6</v>
      </c>
      <c r="D21" s="211"/>
      <c r="E21" s="16">
        <f>-C21</f>
        <v>777158.6</v>
      </c>
      <c r="F21" s="24">
        <f t="shared" si="3"/>
        <v>0</v>
      </c>
      <c r="G21" s="24"/>
    </row>
    <row r="22" spans="1:7" x14ac:dyDescent="0.45">
      <c r="C22" s="168"/>
      <c r="D22" s="211"/>
    </row>
    <row r="23" spans="1:7" x14ac:dyDescent="0.45">
      <c r="A23" t="s">
        <v>1398</v>
      </c>
      <c r="B23" t="str">
        <f>_xlfn.XLOOKUP(A23,'Cashflow Working'!$3:$3,'Cashflow Working'!$130:$130,VALUE("0"),0,1)</f>
        <v>Purchase of property, plant and equipment</v>
      </c>
      <c r="C23" s="168">
        <f>SUMIFS('BnC (TB-Oct21)'!J:J,'BnC (TB-Oct21)'!I:I,A23)</f>
        <v>1705911.85</v>
      </c>
      <c r="D23" s="211"/>
      <c r="F23" s="172">
        <f t="shared" si="3"/>
        <v>1705911.85</v>
      </c>
      <c r="G23" s="172"/>
    </row>
    <row r="24" spans="1:7" x14ac:dyDescent="0.45">
      <c r="A24" t="s">
        <v>1399</v>
      </c>
      <c r="B24" t="str">
        <f>_xlfn.XLOOKUP(A24,'Cashflow Working'!$3:$3,'Cashflow Working'!$130:$130,VALUE("0"),0,1)</f>
        <v>Depreciation and amortisation</v>
      </c>
      <c r="C24" s="168">
        <f>SUMIFS('BnC (TB-Oct21)'!J:J,'BnC (TB-Oct21)'!I:I,A24)</f>
        <v>-1125680.97</v>
      </c>
      <c r="D24" s="211"/>
      <c r="F24" s="172">
        <f t="shared" si="3"/>
        <v>-1125680.97</v>
      </c>
      <c r="G24" s="172"/>
    </row>
    <row r="25" spans="1:7" x14ac:dyDescent="0.45">
      <c r="A25" t="s">
        <v>1400</v>
      </c>
      <c r="B25" t="str">
        <f>_xlfn.XLOOKUP(A25,'Cashflow Working'!$3:$3,'Cashflow Working'!$130:$130,VALUE("0"),0,1)</f>
        <v>Purchase of property, plant and equipment</v>
      </c>
      <c r="C25" s="168">
        <f>SUMIFS('BnC (TB-Oct21)'!J:J,'BnC (TB-Oct21)'!I:I,A25)</f>
        <v>19007.440000000002</v>
      </c>
      <c r="D25" s="211"/>
      <c r="F25" s="172">
        <f t="shared" si="3"/>
        <v>19007.440000000002</v>
      </c>
      <c r="G25" s="172"/>
    </row>
    <row r="26" spans="1:7" x14ac:dyDescent="0.45">
      <c r="A26" t="s">
        <v>1401</v>
      </c>
      <c r="B26" t="str">
        <f>_xlfn.XLOOKUP(A26,'Cashflow Working'!$3:$3,'Cashflow Working'!$130:$130,VALUE("0"),0,1)</f>
        <v>Depreciation and amortisation</v>
      </c>
      <c r="C26" s="168">
        <f>SUMIFS('BnC (TB-Oct21)'!J:J,'BnC (TB-Oct21)'!I:I,A26)</f>
        <v>-11664.160000000002</v>
      </c>
      <c r="D26" s="211"/>
      <c r="F26" s="172">
        <f t="shared" si="3"/>
        <v>-11664.160000000002</v>
      </c>
      <c r="G26" s="172"/>
    </row>
    <row r="27" spans="1:7" x14ac:dyDescent="0.45">
      <c r="A27" t="s">
        <v>1402</v>
      </c>
      <c r="B27" t="str">
        <f>_xlfn.XLOOKUP(A27,'Cashflow Working'!$3:$3,'Cashflow Working'!$130:$130,VALUE("0"),0,1)</f>
        <v>Purchase of property, plant and equipment</v>
      </c>
      <c r="C27" s="168">
        <f>SUMIFS('BnC (TB-Oct21)'!J:J,'BnC (TB-Oct21)'!I:I,A27)</f>
        <v>530454.02</v>
      </c>
      <c r="D27" s="211"/>
      <c r="F27" s="172">
        <f t="shared" si="3"/>
        <v>530454.02</v>
      </c>
      <c r="G27" s="172"/>
    </row>
    <row r="28" spans="1:7" x14ac:dyDescent="0.45">
      <c r="A28" t="s">
        <v>1403</v>
      </c>
      <c r="B28" t="str">
        <f>_xlfn.XLOOKUP(A28,'Cashflow Working'!$3:$3,'Cashflow Working'!$130:$130,VALUE("0"),0,1)</f>
        <v>Depreciation and amortisation</v>
      </c>
      <c r="C28" s="168">
        <f>SUMIFS('BnC (TB-Oct21)'!J:J,'BnC (TB-Oct21)'!I:I,A28)</f>
        <v>-442850.94</v>
      </c>
      <c r="D28" s="211"/>
      <c r="F28" s="172">
        <f t="shared" si="3"/>
        <v>-442850.94</v>
      </c>
      <c r="G28" s="172"/>
    </row>
    <row r="29" spans="1:7" x14ac:dyDescent="0.45">
      <c r="A29" t="s">
        <v>1386</v>
      </c>
      <c r="B29" t="str">
        <f>_xlfn.XLOOKUP(A29,'Cashflow Working'!$3:$3,'Cashflow Working'!$130:$130,VALUE("0"),0,1)</f>
        <v>Purchase of property, plant and equipment</v>
      </c>
      <c r="C29" s="168">
        <f>SUMIFS('BnC (TB-Oct21)'!J:J,'BnC (TB-Oct21)'!I:I,A29)</f>
        <v>71398.83</v>
      </c>
      <c r="D29" s="211"/>
      <c r="F29" s="172">
        <f t="shared" si="3"/>
        <v>71398.83</v>
      </c>
      <c r="G29" s="172"/>
    </row>
    <row r="30" spans="1:7" x14ac:dyDescent="0.45">
      <c r="A30" t="s">
        <v>1404</v>
      </c>
      <c r="B30" t="str">
        <f>_xlfn.XLOOKUP(A30,'Cashflow Working'!$3:$3,'Cashflow Working'!$130:$130,VALUE("0"),0,1)</f>
        <v>Purchase of property, plant and equipment</v>
      </c>
      <c r="C30" s="168">
        <f>SUMIFS('BnC (TB-Oct21)'!J:J,'BnC (TB-Oct21)'!I:I,A30)</f>
        <v>59802.01</v>
      </c>
      <c r="D30" s="211"/>
      <c r="F30" s="172">
        <f t="shared" si="3"/>
        <v>59802.01</v>
      </c>
      <c r="G30" s="172"/>
    </row>
    <row r="31" spans="1:7" x14ac:dyDescent="0.45">
      <c r="A31" t="s">
        <v>1405</v>
      </c>
      <c r="B31" t="str">
        <f>_xlfn.XLOOKUP(A31,'Cashflow Working'!$3:$3,'Cashflow Working'!$130:$130,VALUE("0"),0,1)</f>
        <v>Purchase of property, plant and equipment</v>
      </c>
      <c r="C31" s="168">
        <f>SUMIFS('BnC (TB-Oct21)'!J:J,'BnC (TB-Oct21)'!I:I,A31)</f>
        <v>198568.71</v>
      </c>
      <c r="D31" s="211"/>
      <c r="F31" s="172">
        <f t="shared" si="3"/>
        <v>198568.71</v>
      </c>
      <c r="G31" s="172"/>
    </row>
    <row r="32" spans="1:7" x14ac:dyDescent="0.45">
      <c r="A32" t="s">
        <v>1406</v>
      </c>
      <c r="B32" t="str">
        <f>_xlfn.XLOOKUP(A32,'Cashflow Working'!$3:$3,'Cashflow Working'!$130:$130,VALUE("0"),0,1)</f>
        <v>Depreciation and amortisation</v>
      </c>
      <c r="C32" s="168">
        <f>SUMIFS('BnC (TB-Oct21)'!J:J,'BnC (TB-Oct21)'!I:I,A32)</f>
        <v>-195814.76</v>
      </c>
      <c r="D32" s="211"/>
      <c r="F32" s="172">
        <f t="shared" si="3"/>
        <v>-195814.76</v>
      </c>
      <c r="G32" s="172"/>
    </row>
    <row r="33" spans="1:7" x14ac:dyDescent="0.45">
      <c r="A33" t="s">
        <v>1407</v>
      </c>
      <c r="B33" t="str">
        <f>_xlfn.XLOOKUP(A33,'Cashflow Working'!$3:$3,'Cashflow Working'!$130:$130,VALUE("0"),0,1)</f>
        <v>Purchase of property, plant and equipment</v>
      </c>
      <c r="C33" s="168">
        <f>SUMIFS('BnC (TB-Oct21)'!J:J,'BnC (TB-Oct21)'!I:I,A33)</f>
        <v>3688198.0500000003</v>
      </c>
      <c r="D33" s="211"/>
      <c r="F33" s="172">
        <f t="shared" si="3"/>
        <v>3688198.0500000003</v>
      </c>
      <c r="G33" s="172"/>
    </row>
    <row r="34" spans="1:7" x14ac:dyDescent="0.45">
      <c r="A34" t="s">
        <v>1408</v>
      </c>
      <c r="B34" t="str">
        <f>_xlfn.XLOOKUP(A34,'Cashflow Working'!$3:$3,'Cashflow Working'!$130:$130,VALUE("0"),0,1)</f>
        <v>Depreciation and amortisation</v>
      </c>
      <c r="C34" s="168">
        <f>SUMIFS('BnC (TB-Oct21)'!J:J,'BnC (TB-Oct21)'!I:I,A34)</f>
        <v>-2846146.8400000003</v>
      </c>
      <c r="D34" s="211"/>
      <c r="F34" s="172">
        <f t="shared" si="3"/>
        <v>-2846146.8400000003</v>
      </c>
      <c r="G34" s="172"/>
    </row>
    <row r="35" spans="1:7" x14ac:dyDescent="0.45">
      <c r="A35" t="s">
        <v>1409</v>
      </c>
      <c r="B35" t="str">
        <f>_xlfn.XLOOKUP(A35,'Cashflow Working'!$3:$3,'Cashflow Working'!$130:$130,VALUE("0"),0,1)</f>
        <v>Purchase of property, plant and equipment</v>
      </c>
      <c r="C35" s="168">
        <f>SUMIFS('BnC (TB-Oct21)'!J:J,'BnC (TB-Oct21)'!I:I,A35)</f>
        <v>128131.32</v>
      </c>
      <c r="D35" s="211"/>
      <c r="F35" s="172">
        <f t="shared" si="3"/>
        <v>128131.32</v>
      </c>
      <c r="G35" s="172"/>
    </row>
    <row r="36" spans="1:7" x14ac:dyDescent="0.45">
      <c r="A36" t="s">
        <v>1410</v>
      </c>
      <c r="B36" t="str">
        <f>_xlfn.XLOOKUP(A36,'Cashflow Working'!$3:$3,'Cashflow Working'!$130:$130,VALUE("0"),0,1)</f>
        <v>Depreciation and amortisation</v>
      </c>
      <c r="C36" s="168">
        <f>SUMIFS('BnC (TB-Oct21)'!J:J,'BnC (TB-Oct21)'!I:I,A36)</f>
        <v>-109537.83999999998</v>
      </c>
      <c r="D36" s="211"/>
      <c r="F36" s="172">
        <f t="shared" si="3"/>
        <v>-109537.83999999998</v>
      </c>
      <c r="G36" s="172"/>
    </row>
    <row r="37" spans="1:7" x14ac:dyDescent="0.45">
      <c r="A37" t="s">
        <v>1411</v>
      </c>
      <c r="B37" t="str">
        <f>_xlfn.XLOOKUP(A37,'Cashflow Working'!$3:$3,'Cashflow Working'!$130:$130,VALUE("0"),0,1)</f>
        <v>Purchase of property, plant and equipment</v>
      </c>
      <c r="C37" s="168">
        <f>SUMIFS('BnC (TB-Oct21)'!J:J,'BnC (TB-Oct21)'!I:I,A37)</f>
        <v>18454.330000000002</v>
      </c>
      <c r="D37" s="211"/>
      <c r="F37" s="172">
        <f t="shared" si="3"/>
        <v>18454.330000000002</v>
      </c>
      <c r="G37" s="172"/>
    </row>
    <row r="38" spans="1:7" x14ac:dyDescent="0.45">
      <c r="A38" t="s">
        <v>1412</v>
      </c>
      <c r="B38" t="str">
        <f>_xlfn.XLOOKUP(A38,'Cashflow Working'!$3:$3,'Cashflow Working'!$130:$130,VALUE("0"),0,1)</f>
        <v>Depreciation and amortisation</v>
      </c>
      <c r="C38" s="168">
        <f>SUMIFS('BnC (TB-Oct21)'!J:J,'BnC (TB-Oct21)'!I:I,A38)</f>
        <v>-18454.330000000002</v>
      </c>
      <c r="D38" s="211"/>
      <c r="F38" s="172">
        <f t="shared" si="3"/>
        <v>-18454.330000000002</v>
      </c>
      <c r="G38" s="172"/>
    </row>
    <row r="39" spans="1:7" x14ac:dyDescent="0.45">
      <c r="A39" t="s">
        <v>1387</v>
      </c>
      <c r="B39" t="str">
        <f>_xlfn.XLOOKUP(A39,'Cashflow Working'!$3:$3,'Cashflow Working'!$130:$130,VALUE("0"),0,1)</f>
        <v>Trade and other receivables, and contract assets</v>
      </c>
      <c r="C39" s="168">
        <f>SUMIFS('BnC (TB-Oct21)'!J:J,'BnC (TB-Oct21)'!I:I,A39)</f>
        <v>206002.63</v>
      </c>
      <c r="D39" s="211"/>
      <c r="F39" s="172">
        <f t="shared" si="3"/>
        <v>206002.63</v>
      </c>
      <c r="G39" s="172"/>
    </row>
    <row r="40" spans="1:7" x14ac:dyDescent="0.45">
      <c r="A40" t="s">
        <v>1413</v>
      </c>
      <c r="B40">
        <f>_xlfn.XLOOKUP(A40,'Cashflow Working'!$3:$3,'Cashflow Working'!$130:$130,VALUE("0"),0,1)</f>
        <v>0</v>
      </c>
      <c r="C40" s="168">
        <f>SUMIFS('BnC (TB-Oct21)'!J:J,'BnC (TB-Oct21)'!I:I,A40)</f>
        <v>21547.450000000004</v>
      </c>
      <c r="D40" s="211"/>
      <c r="E40" s="16">
        <f>-C40</f>
        <v>-21547.450000000004</v>
      </c>
      <c r="F40" s="172">
        <f t="shared" si="3"/>
        <v>0</v>
      </c>
      <c r="G40" s="172"/>
    </row>
    <row r="41" spans="1:7" x14ac:dyDescent="0.45">
      <c r="A41" t="s">
        <v>1388</v>
      </c>
      <c r="B41">
        <f>_xlfn.XLOOKUP(A41,'Cashflow Working'!$3:$3,'Cashflow Working'!$130:$130,VALUE("0"),0,1)</f>
        <v>0</v>
      </c>
      <c r="C41" s="168">
        <f>SUMIFS('BnC (TB-Oct21)'!J:J,'BnC (TB-Oct21)'!I:I,A41)</f>
        <v>4400</v>
      </c>
      <c r="D41" s="211"/>
      <c r="E41" s="16">
        <f t="shared" ref="E41:E48" si="4">-C41</f>
        <v>-4400</v>
      </c>
      <c r="F41" s="172">
        <f t="shared" si="3"/>
        <v>0</v>
      </c>
      <c r="G41" s="172"/>
    </row>
    <row r="42" spans="1:7" x14ac:dyDescent="0.45">
      <c r="A42" t="s">
        <v>1414</v>
      </c>
      <c r="B42">
        <f>_xlfn.XLOOKUP(A42,'Cashflow Working'!$3:$3,'Cashflow Working'!$130:$130,VALUE("0"),0,1)</f>
        <v>0</v>
      </c>
      <c r="C42" s="168">
        <f>SUMIFS('BnC (TB-Oct21)'!J:J,'BnC (TB-Oct21)'!I:I,A42)</f>
        <v>2400</v>
      </c>
      <c r="D42" s="211"/>
      <c r="E42" s="16">
        <f t="shared" si="4"/>
        <v>-2400</v>
      </c>
      <c r="F42" s="172">
        <f t="shared" si="3"/>
        <v>0</v>
      </c>
      <c r="G42" s="172"/>
    </row>
    <row r="43" spans="1:7" x14ac:dyDescent="0.45">
      <c r="A43" t="s">
        <v>1415</v>
      </c>
      <c r="B43">
        <f>_xlfn.XLOOKUP(A43,'Cashflow Working'!$3:$3,'Cashflow Working'!$130:$130,VALUE("0"),0,1)</f>
        <v>0</v>
      </c>
      <c r="C43" s="168">
        <f>SUMIFS('BnC (TB-Oct21)'!J:J,'BnC (TB-Oct21)'!I:I,A43)</f>
        <v>837233.42</v>
      </c>
      <c r="D43" s="211"/>
      <c r="E43" s="16">
        <f t="shared" si="4"/>
        <v>-837233.42</v>
      </c>
      <c r="F43" s="172">
        <f t="shared" si="3"/>
        <v>0</v>
      </c>
      <c r="G43" s="172"/>
    </row>
    <row r="44" spans="1:7" x14ac:dyDescent="0.45">
      <c r="A44" t="s">
        <v>1416</v>
      </c>
      <c r="B44">
        <f>_xlfn.XLOOKUP(A44,'Cashflow Working'!$3:$3,'Cashflow Working'!$130:$130,VALUE("0"),0,1)</f>
        <v>0</v>
      </c>
      <c r="C44" s="168">
        <f>SUMIFS('BnC (TB-Oct21)'!J:J,'BnC (TB-Oct21)'!I:I,A44)</f>
        <v>280957.40000000002</v>
      </c>
      <c r="D44" s="211"/>
      <c r="E44" s="16">
        <f t="shared" si="4"/>
        <v>-280957.40000000002</v>
      </c>
      <c r="F44" s="172">
        <f t="shared" si="3"/>
        <v>0</v>
      </c>
      <c r="G44" s="172"/>
    </row>
    <row r="45" spans="1:7" x14ac:dyDescent="0.45">
      <c r="A45" t="s">
        <v>1417</v>
      </c>
      <c r="B45">
        <f>_xlfn.XLOOKUP(A45,'Cashflow Working'!$3:$3,'Cashflow Working'!$130:$130,VALUE("0"),0,1)</f>
        <v>0</v>
      </c>
      <c r="C45" s="168">
        <f>SUMIFS('BnC (TB-Oct21)'!J:J,'BnC (TB-Oct21)'!I:I,A45)</f>
        <v>42935.27</v>
      </c>
      <c r="D45" s="211"/>
      <c r="E45" s="16">
        <f t="shared" si="4"/>
        <v>-42935.27</v>
      </c>
      <c r="F45" s="172">
        <f t="shared" si="3"/>
        <v>0</v>
      </c>
      <c r="G45" s="172"/>
    </row>
    <row r="46" spans="1:7" x14ac:dyDescent="0.45">
      <c r="A46" t="s">
        <v>1418</v>
      </c>
      <c r="B46">
        <f>_xlfn.XLOOKUP(A46,'Cashflow Working'!$3:$3,'Cashflow Working'!$130:$130,VALUE("0"),0,1)</f>
        <v>0</v>
      </c>
      <c r="C46" s="168">
        <f>SUMIFS('BnC (TB-Oct21)'!J:J,'BnC (TB-Oct21)'!I:I,A46)</f>
        <v>2027292.51</v>
      </c>
      <c r="D46" s="211"/>
      <c r="E46" s="16">
        <f t="shared" si="4"/>
        <v>-2027292.51</v>
      </c>
      <c r="F46" s="172">
        <f t="shared" si="3"/>
        <v>0</v>
      </c>
      <c r="G46" s="172"/>
    </row>
    <row r="47" spans="1:7" x14ac:dyDescent="0.45">
      <c r="A47" t="s">
        <v>1389</v>
      </c>
      <c r="B47">
        <f>_xlfn.XLOOKUP(A47,'Cashflow Working'!$3:$3,'Cashflow Working'!$130:$130,VALUE("0"),0,1)</f>
        <v>0</v>
      </c>
      <c r="C47" s="168">
        <f>SUMIFS('BnC (TB-Oct21)'!J:J,'BnC (TB-Oct21)'!I:I,A47)</f>
        <v>196934.23</v>
      </c>
      <c r="D47" s="211"/>
      <c r="E47" s="16">
        <f t="shared" si="4"/>
        <v>-196934.23</v>
      </c>
      <c r="F47" s="172">
        <f t="shared" si="3"/>
        <v>0</v>
      </c>
      <c r="G47" s="172"/>
    </row>
    <row r="48" spans="1:7" x14ac:dyDescent="0.45">
      <c r="A48" t="s">
        <v>1419</v>
      </c>
      <c r="B48">
        <f>_xlfn.XLOOKUP(A48,'Cashflow Working'!$3:$3,'Cashflow Working'!$130:$130,VALUE("0"),0,1)</f>
        <v>0</v>
      </c>
      <c r="C48" s="168">
        <f>SUMIFS('BnC (TB-Oct21)'!J:J,'BnC (TB-Oct21)'!I:I,A48)</f>
        <v>271922.59999999998</v>
      </c>
      <c r="D48" s="211"/>
      <c r="E48" s="16">
        <f t="shared" si="4"/>
        <v>-271922.59999999998</v>
      </c>
      <c r="F48" s="172">
        <f t="shared" si="3"/>
        <v>0</v>
      </c>
      <c r="G48" s="172"/>
    </row>
    <row r="49" spans="1:7" x14ac:dyDescent="0.45">
      <c r="A49" t="s">
        <v>1390</v>
      </c>
      <c r="B49" t="str">
        <f>_xlfn.XLOOKUP(A49,'Cashflow Working'!$3:$3,'Cashflow Working'!$130:$130,VALUE("0"),0,1)</f>
        <v>Other current asset</v>
      </c>
      <c r="C49" s="168">
        <f>SUMIFS('BnC (TB-Oct21)'!J:J,'BnC (TB-Oct21)'!I:I,A49)</f>
        <v>579772.04999999993</v>
      </c>
      <c r="D49" s="211"/>
      <c r="F49" s="172">
        <f t="shared" si="3"/>
        <v>579772.04999999993</v>
      </c>
      <c r="G49" s="172"/>
    </row>
    <row r="50" spans="1:7" x14ac:dyDescent="0.45">
      <c r="A50" t="s">
        <v>1391</v>
      </c>
      <c r="B50" t="str">
        <f>_xlfn.XLOOKUP(A50,'Cashflow Working'!$3:$3,'Cashflow Working'!$130:$130,VALUE("0"),0,1)</f>
        <v>Prepayments</v>
      </c>
      <c r="C50" s="168">
        <f>SUMIFS('BnC (TB-Oct21)'!J:J,'BnC (TB-Oct21)'!I:I,A50)</f>
        <v>388632.71</v>
      </c>
      <c r="D50" s="211"/>
      <c r="F50" s="172">
        <f t="shared" si="3"/>
        <v>388632.71</v>
      </c>
      <c r="G50" s="172"/>
    </row>
    <row r="51" spans="1:7" x14ac:dyDescent="0.45">
      <c r="A51" t="s">
        <v>1420</v>
      </c>
      <c r="B51" t="str">
        <f>_xlfn.XLOOKUP(A51,'Cashflow Working'!$3:$3,'Cashflow Working'!$130:$130,VALUE("0"),0,1)</f>
        <v>Trade and other receivables, and contract assets</v>
      </c>
      <c r="C51" s="168">
        <f>SUMIFS('BnC (TB-Oct21)'!J:J,'BnC (TB-Oct21)'!I:I,A51)</f>
        <v>1918.64</v>
      </c>
      <c r="D51" s="211"/>
      <c r="F51" s="172">
        <f t="shared" si="3"/>
        <v>1918.64</v>
      </c>
      <c r="G51" s="172"/>
    </row>
    <row r="52" spans="1:7" x14ac:dyDescent="0.45">
      <c r="A52" t="s">
        <v>1421</v>
      </c>
      <c r="B52" t="str">
        <f>_xlfn.XLOOKUP(A52,'Cashflow Working'!$3:$3,'Cashflow Working'!$130:$130,VALUE("0"),0,1)</f>
        <v>Purchase of property, plant and equipment</v>
      </c>
      <c r="C52" s="168">
        <f>SUMIFS('BnC (TB-Oct21)'!J:J,'BnC (TB-Oct21)'!I:I,A52)</f>
        <v>2786021.08</v>
      </c>
      <c r="D52" s="211"/>
      <c r="F52" s="172">
        <f t="shared" si="3"/>
        <v>2786021.08</v>
      </c>
      <c r="G52" s="172"/>
    </row>
    <row r="53" spans="1:7" x14ac:dyDescent="0.45">
      <c r="A53" t="s">
        <v>1392</v>
      </c>
      <c r="B53" t="str">
        <f>_xlfn.XLOOKUP(A53,'Cashflow Working'!$3:$3,'Cashflow Working'!$130:$130,VALUE("0"),0,1)</f>
        <v>Inventories</v>
      </c>
      <c r="C53" s="168">
        <f>SUMIFS('BnC (TB-Oct21)'!J:J,'BnC (TB-Oct21)'!I:I,A53)</f>
        <v>111992.03</v>
      </c>
      <c r="D53" s="211"/>
      <c r="F53" s="172">
        <f t="shared" si="3"/>
        <v>111992.03</v>
      </c>
      <c r="G53" s="172"/>
    </row>
    <row r="54" spans="1:7" x14ac:dyDescent="0.45">
      <c r="A54" t="s">
        <v>1422</v>
      </c>
      <c r="B54" t="str">
        <f>_xlfn.XLOOKUP(A54,'Cashflow Working'!$3:$3,'Cashflow Working'!$130:$130,VALUE("0"),0,1)</f>
        <v>Trade and other receivables, and contract assets</v>
      </c>
      <c r="C54" s="168">
        <f>SUMIFS('BnC (TB-Oct21)'!J:J,'BnC (TB-Oct21)'!I:I,A54)</f>
        <v>41445.480000000003</v>
      </c>
      <c r="D54" s="211"/>
      <c r="F54" s="172">
        <f t="shared" si="3"/>
        <v>41445.480000000003</v>
      </c>
      <c r="G54" s="172"/>
    </row>
    <row r="55" spans="1:7" x14ac:dyDescent="0.45">
      <c r="A55" t="s">
        <v>1393</v>
      </c>
      <c r="B55" t="str">
        <f>_xlfn.XLOOKUP(A55,'Cashflow Working'!$3:$3,'Cashflow Working'!$130:$130,VALUE("0"),0,1)</f>
        <v>Trade and Other payables, and contract liabilities</v>
      </c>
      <c r="C55" s="168">
        <f>SUMIFS('BnC (TB-Oct21)'!J:J,'BnC (TB-Oct21)'!I:I,A55)</f>
        <v>-476401.85</v>
      </c>
      <c r="D55" s="211"/>
      <c r="F55" s="172">
        <f t="shared" si="3"/>
        <v>-476401.85</v>
      </c>
      <c r="G55" s="172"/>
    </row>
    <row r="56" spans="1:7" x14ac:dyDescent="0.45">
      <c r="A56" t="s">
        <v>1394</v>
      </c>
      <c r="B56" t="str">
        <f>_xlfn.XLOOKUP(A56,'Cashflow Working'!$3:$3,'Cashflow Working'!$130:$130,VALUE("0"),0,1)</f>
        <v>Trade and Other payables, and contract liabilities</v>
      </c>
      <c r="C56" s="168">
        <f>SUMIFS('BnC (TB-Oct21)'!J:J,'BnC (TB-Oct21)'!I:I,A56)</f>
        <v>-2008.38</v>
      </c>
      <c r="D56" s="211"/>
      <c r="F56" s="172">
        <f t="shared" si="3"/>
        <v>-2008.38</v>
      </c>
      <c r="G56" s="172"/>
    </row>
    <row r="57" spans="1:7" x14ac:dyDescent="0.45">
      <c r="A57" t="s">
        <v>1423</v>
      </c>
      <c r="B57" t="str">
        <f>_xlfn.XLOOKUP(A57,'Cashflow Working'!$3:$3,'Cashflow Working'!$130:$130,VALUE("0"),0,1)</f>
        <v>Trade and Other payables, and contract liabilities</v>
      </c>
      <c r="C57" s="168">
        <f>SUMIFS('BnC (TB-Oct21)'!J:J,'BnC (TB-Oct21)'!I:I,A57)</f>
        <v>-87792.79</v>
      </c>
      <c r="D57" s="211"/>
      <c r="F57" s="172">
        <f t="shared" si="3"/>
        <v>-87792.79</v>
      </c>
      <c r="G57" s="172"/>
    </row>
    <row r="58" spans="1:7" x14ac:dyDescent="0.45">
      <c r="A58" t="s">
        <v>1424</v>
      </c>
      <c r="B58" t="str">
        <f>_xlfn.XLOOKUP(A58,'Cashflow Working'!$3:$3,'Cashflow Working'!$130:$130,VALUE("0"),0,1)</f>
        <v>Trade and Other payables, and contract liabilities</v>
      </c>
      <c r="C58" s="168">
        <f>SUMIFS('BnC (TB-Oct21)'!J:J,'BnC (TB-Oct21)'!I:I,A58)</f>
        <v>-68657.289999999994</v>
      </c>
      <c r="D58" s="211"/>
      <c r="F58" s="172">
        <f t="shared" si="3"/>
        <v>-68657.289999999994</v>
      </c>
      <c r="G58" s="172"/>
    </row>
    <row r="59" spans="1:7" x14ac:dyDescent="0.45">
      <c r="A59" t="s">
        <v>1425</v>
      </c>
      <c r="B59" t="str">
        <f>_xlfn.XLOOKUP(A59,'Cashflow Working'!$3:$3,'Cashflow Working'!$130:$130,VALUE("0"),0,1)</f>
        <v>Repayment of obligations under leases</v>
      </c>
      <c r="C59" s="168">
        <f>SUMIFS('BnC (TB-Oct21)'!J:J,'BnC (TB-Oct21)'!I:I,A59)</f>
        <v>-2852380.9400000004</v>
      </c>
      <c r="D59" s="211"/>
      <c r="F59" s="172">
        <f t="shared" si="3"/>
        <v>-2852380.9400000004</v>
      </c>
      <c r="G59" s="172"/>
    </row>
    <row r="60" spans="1:7" x14ac:dyDescent="0.45">
      <c r="A60" t="s">
        <v>1426</v>
      </c>
      <c r="B60" t="str">
        <f>_xlfn.XLOOKUP(A60,'Cashflow Working'!$3:$3,'Cashflow Working'!$130:$130,VALUE("0"),0,1)</f>
        <v>Proceeds from borrowings</v>
      </c>
      <c r="C60" s="168">
        <f>SUMIFS('BnC (TB-Oct21)'!J:J,'BnC (TB-Oct21)'!I:I,A60)</f>
        <v>-2504246.58</v>
      </c>
      <c r="D60" s="211"/>
      <c r="F60" s="172">
        <f t="shared" si="3"/>
        <v>-2504246.58</v>
      </c>
      <c r="G60" s="172"/>
    </row>
    <row r="61" spans="1:7" x14ac:dyDescent="0.45">
      <c r="A61" t="s">
        <v>1427</v>
      </c>
      <c r="B61" t="str">
        <f>_xlfn.XLOOKUP(A61,'Cashflow Working'!$3:$3,'Cashflow Working'!$130:$130,VALUE("0"),0,1)</f>
        <v>Trade and Other payables, and contract liabilities</v>
      </c>
      <c r="C61" s="168">
        <f>SUMIFS('BnC (TB-Oct21)'!J:J,'BnC (TB-Oct21)'!I:I,A61)</f>
        <v>-49010.25</v>
      </c>
      <c r="D61" s="211"/>
      <c r="F61" s="172">
        <f t="shared" si="3"/>
        <v>-49010.25</v>
      </c>
      <c r="G61" s="172"/>
    </row>
    <row r="62" spans="1:7" x14ac:dyDescent="0.45">
      <c r="A62" t="s">
        <v>1395</v>
      </c>
      <c r="B62" t="str">
        <f>_xlfn.XLOOKUP(A62,'Cashflow Working'!$3:$3,'Cashflow Working'!$130:$130,VALUE("0"),0,1)</f>
        <v>Provisions</v>
      </c>
      <c r="C62" s="168">
        <f>SUMIFS('BnC (TB-Oct21)'!J:J,'BnC (TB-Oct21)'!I:I,A62)</f>
        <v>120201.25</v>
      </c>
      <c r="D62" s="211"/>
      <c r="F62" s="172">
        <f t="shared" si="3"/>
        <v>120201.25</v>
      </c>
      <c r="G62" s="172"/>
    </row>
    <row r="63" spans="1:7" x14ac:dyDescent="0.45">
      <c r="A63" t="s">
        <v>1428</v>
      </c>
      <c r="B63" t="str">
        <f>_xlfn.XLOOKUP(A63,'Cashflow Working'!$3:$3,'Cashflow Working'!$130:$130,VALUE("0"),0,1)</f>
        <v>Trade and Other payables, and contract liabilities</v>
      </c>
      <c r="C63" s="168">
        <f>SUMIFS('BnC (TB-Oct21)'!J:J,'BnC (TB-Oct21)'!I:I,A63)</f>
        <v>-103943.76</v>
      </c>
      <c r="D63" s="211"/>
      <c r="F63" s="172">
        <f t="shared" si="3"/>
        <v>-103943.76</v>
      </c>
      <c r="G63" s="172"/>
    </row>
    <row r="64" spans="1:7" x14ac:dyDescent="0.45">
      <c r="A64" t="s">
        <v>1429</v>
      </c>
      <c r="B64" t="str">
        <f>_xlfn.XLOOKUP(A64,'Cashflow Working'!$3:$3,'Cashflow Working'!$130:$130,VALUE("0"),0,1)</f>
        <v>Trade and Other payables, and contract liabilities</v>
      </c>
      <c r="C64" s="168">
        <f>SUMIFS('BnC (TB-Oct21)'!J:J,'BnC (TB-Oct21)'!I:I,A64)</f>
        <v>-151926.97</v>
      </c>
      <c r="D64" s="211"/>
      <c r="F64" s="172">
        <f t="shared" si="3"/>
        <v>-151926.97</v>
      </c>
      <c r="G64" s="172"/>
    </row>
    <row r="65" spans="1:7" x14ac:dyDescent="0.45">
      <c r="A65" t="s">
        <v>1396</v>
      </c>
      <c r="B65" t="str">
        <f>_xlfn.XLOOKUP(A65,'Cashflow Working'!$3:$3,'Cashflow Working'!$130:$130,VALUE("0"),0,1)</f>
        <v>Provisions</v>
      </c>
      <c r="C65" s="168">
        <f>SUMIFS('BnC (TB-Oct21)'!J:J,'BnC (TB-Oct21)'!I:I,A65)</f>
        <v>-109021</v>
      </c>
      <c r="D65" s="211"/>
      <c r="F65" s="172">
        <f t="shared" si="3"/>
        <v>-109021</v>
      </c>
      <c r="G65" s="172"/>
    </row>
    <row r="66" spans="1:7" x14ac:dyDescent="0.45">
      <c r="A66" t="s">
        <v>1397</v>
      </c>
      <c r="B66" t="str">
        <f>_xlfn.XLOOKUP(A66,'Cashflow Working'!$3:$3,'Cashflow Working'!$130:$130,VALUE("0"),0,1)</f>
        <v>Trade and Other payables, and contract liabilities</v>
      </c>
      <c r="C66" s="168">
        <f>SUMIFS('BnC (TB-Oct21)'!J:J,'BnC (TB-Oct21)'!I:I,A66)</f>
        <v>-70341</v>
      </c>
      <c r="D66" s="211"/>
      <c r="F66" s="172">
        <f t="shared" si="3"/>
        <v>-70341</v>
      </c>
      <c r="G66" s="172"/>
    </row>
    <row r="67" spans="1:7" x14ac:dyDescent="0.45">
      <c r="C67" s="168"/>
      <c r="D67" s="211"/>
      <c r="F67" s="80"/>
      <c r="G67" s="80"/>
    </row>
    <row r="68" spans="1:7" x14ac:dyDescent="0.45">
      <c r="C68" s="168"/>
      <c r="D68" s="211"/>
    </row>
    <row r="69" spans="1:7" x14ac:dyDescent="0.45">
      <c r="C69" s="168"/>
      <c r="D69" s="211"/>
    </row>
    <row r="70" spans="1:7" x14ac:dyDescent="0.45">
      <c r="A70" t="s">
        <v>1537</v>
      </c>
      <c r="C70" s="169">
        <f>SUM('BnC (TB-Oct21)'!J224:J519)</f>
        <v>-1614265.2900000056</v>
      </c>
      <c r="D70" s="211"/>
      <c r="E70" s="16">
        <f>-C70</f>
        <v>1614265.2900000056</v>
      </c>
      <c r="F70" s="24">
        <f>SUM(F1:F69)</f>
        <v>-4.9476511776447296E-10</v>
      </c>
      <c r="G70" s="24"/>
    </row>
  </sheetData>
  <sheetProtection algorithmName="SHA-512" hashValue="4L0EZ5QPbzXJ42ylYdemWcRk0fhZRKgfB//Xqhrm+GUIIt2YQ05w2B0IZDHVXN0JzZNNc+2nma+ZekeMqF7Vdg==" saltValue="CLvwxXYPVUeugiy+Jv+aNQ==" spinCount="100000" sheet="1" objects="1" scenarios="1" selectLockedCells="1" selectUnlockedCells="1"/>
  <mergeCells count="3">
    <mergeCell ref="A1:C1"/>
    <mergeCell ref="D20:D70"/>
    <mergeCell ref="D3:D16"/>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CABE4-2FC1-4FCA-8C62-6E34A3729690}">
  <dimension ref="A3:J24"/>
  <sheetViews>
    <sheetView workbookViewId="0">
      <selection activeCell="E4" sqref="E4:F5"/>
    </sheetView>
  </sheetViews>
  <sheetFormatPr defaultRowHeight="14.25" x14ac:dyDescent="0.45"/>
  <cols>
    <col min="2" max="2" width="19" bestFit="1" customWidth="1"/>
    <col min="3" max="3" width="29.33203125" bestFit="1" customWidth="1"/>
    <col min="4" max="4" width="13.796875" bestFit="1" customWidth="1"/>
    <col min="5" max="5" width="11.59765625" bestFit="1" customWidth="1"/>
    <col min="6" max="7" width="11.19921875" bestFit="1" customWidth="1"/>
    <col min="9" max="9" width="24.33203125" customWidth="1"/>
    <col min="10" max="10" width="20.19921875" customWidth="1"/>
  </cols>
  <sheetData>
    <row r="3" spans="1:10" ht="25.5" x14ac:dyDescent="0.45">
      <c r="A3" s="178"/>
      <c r="B3" s="178"/>
      <c r="C3" s="178"/>
      <c r="D3" s="178"/>
      <c r="E3" s="179" t="s">
        <v>1811</v>
      </c>
      <c r="F3" s="180" t="s">
        <v>1812</v>
      </c>
      <c r="G3" s="181"/>
    </row>
    <row r="4" spans="1:10" x14ac:dyDescent="0.45">
      <c r="A4" s="178"/>
      <c r="B4" s="178"/>
      <c r="C4" s="178"/>
      <c r="D4" s="178"/>
      <c r="E4" s="182" t="s">
        <v>1813</v>
      </c>
      <c r="F4" s="183" t="s">
        <v>1814</v>
      </c>
      <c r="G4" s="181" t="s">
        <v>1815</v>
      </c>
    </row>
    <row r="5" spans="1:10" x14ac:dyDescent="0.45">
      <c r="A5" s="178"/>
      <c r="B5" s="178"/>
      <c r="C5" s="183" t="s">
        <v>1816</v>
      </c>
      <c r="D5" s="178"/>
      <c r="E5" s="182" t="s">
        <v>1817</v>
      </c>
      <c r="F5" s="183" t="s">
        <v>1818</v>
      </c>
      <c r="G5" s="181"/>
    </row>
    <row r="6" spans="1:10" x14ac:dyDescent="0.45">
      <c r="A6" s="178" t="s">
        <v>1819</v>
      </c>
      <c r="B6" s="178" t="s">
        <v>1820</v>
      </c>
      <c r="C6" s="178" t="s">
        <v>1821</v>
      </c>
      <c r="D6" s="184">
        <v>2109511.6900000009</v>
      </c>
      <c r="E6" s="185">
        <v>29634.909999999996</v>
      </c>
      <c r="F6" s="184">
        <v>467544</v>
      </c>
      <c r="G6" s="186">
        <v>2606690.600000001</v>
      </c>
      <c r="I6" t="s">
        <v>1743</v>
      </c>
      <c r="J6" s="191">
        <f>G6</f>
        <v>2606690.600000001</v>
      </c>
    </row>
    <row r="7" spans="1:10" x14ac:dyDescent="0.45">
      <c r="A7" s="178" t="s">
        <v>1819</v>
      </c>
      <c r="B7" s="178" t="s">
        <v>1822</v>
      </c>
      <c r="C7" s="178" t="s">
        <v>1823</v>
      </c>
      <c r="D7" s="187">
        <v>629862.50999999978</v>
      </c>
      <c r="E7" s="178"/>
      <c r="F7" s="188"/>
      <c r="G7" s="186">
        <v>629862.50999999978</v>
      </c>
      <c r="I7" t="s">
        <v>1660</v>
      </c>
      <c r="J7" s="191">
        <f>G7-553.11</f>
        <v>629309.39999999979</v>
      </c>
    </row>
    <row r="8" spans="1:10" x14ac:dyDescent="0.45">
      <c r="A8" s="178" t="s">
        <v>1819</v>
      </c>
      <c r="B8" s="178" t="s">
        <v>1824</v>
      </c>
      <c r="C8" s="183" t="s">
        <v>1825</v>
      </c>
      <c r="D8" s="189">
        <v>30561000</v>
      </c>
      <c r="E8" s="188"/>
      <c r="F8" s="188"/>
      <c r="G8" s="190">
        <v>30561000</v>
      </c>
      <c r="I8" t="s">
        <v>1745</v>
      </c>
      <c r="J8" s="191">
        <f t="shared" ref="J8:J11" si="0">G8</f>
        <v>30561000</v>
      </c>
    </row>
    <row r="9" spans="1:10" x14ac:dyDescent="0.45">
      <c r="A9" s="178" t="s">
        <v>1819</v>
      </c>
      <c r="B9" s="178" t="s">
        <v>1826</v>
      </c>
      <c r="C9" s="183" t="s">
        <v>1825</v>
      </c>
      <c r="D9" s="189">
        <v>18218000</v>
      </c>
      <c r="E9" s="188"/>
      <c r="F9" s="188"/>
      <c r="G9" s="190">
        <v>18218000</v>
      </c>
      <c r="I9" t="s">
        <v>1751</v>
      </c>
      <c r="J9" s="191">
        <f t="shared" si="0"/>
        <v>18218000</v>
      </c>
    </row>
    <row r="10" spans="1:10" x14ac:dyDescent="0.45">
      <c r="A10" s="178" t="s">
        <v>1827</v>
      </c>
      <c r="B10" s="178" t="s">
        <v>1828</v>
      </c>
      <c r="C10" s="183" t="s">
        <v>1825</v>
      </c>
      <c r="D10" s="189">
        <v>-5195000</v>
      </c>
      <c r="E10" s="188"/>
      <c r="F10" s="188"/>
      <c r="G10" s="190">
        <v>-5195000</v>
      </c>
      <c r="I10" t="s">
        <v>1667</v>
      </c>
      <c r="J10" s="191">
        <f t="shared" si="0"/>
        <v>-5195000</v>
      </c>
    </row>
    <row r="11" spans="1:10" x14ac:dyDescent="0.45">
      <c r="A11" s="178" t="s">
        <v>1827</v>
      </c>
      <c r="B11" s="178" t="s">
        <v>1829</v>
      </c>
      <c r="C11" s="178" t="s">
        <v>1123</v>
      </c>
      <c r="D11" s="184">
        <v>-46820000</v>
      </c>
      <c r="E11" s="188"/>
      <c r="F11" s="188"/>
      <c r="G11" s="190">
        <v>-46820000</v>
      </c>
      <c r="I11" t="s">
        <v>1734</v>
      </c>
      <c r="J11" s="191">
        <f t="shared" si="0"/>
        <v>-46820000</v>
      </c>
    </row>
    <row r="13" spans="1:10" x14ac:dyDescent="0.45">
      <c r="G13" s="191">
        <f>SUM(G6:G12)</f>
        <v>553.10999999940395</v>
      </c>
    </row>
    <row r="15" spans="1:10" x14ac:dyDescent="0.45">
      <c r="A15" s="178"/>
      <c r="B15" s="178"/>
      <c r="C15" s="178"/>
      <c r="D15" s="205">
        <v>44197</v>
      </c>
      <c r="E15" s="179" t="s">
        <v>1811</v>
      </c>
      <c r="F15" s="179" t="s">
        <v>1811</v>
      </c>
      <c r="G15" s="190"/>
    </row>
    <row r="16" spans="1:10" x14ac:dyDescent="0.45">
      <c r="A16" s="178"/>
      <c r="B16" s="178"/>
      <c r="C16" s="178"/>
      <c r="D16" s="178" t="s">
        <v>1840</v>
      </c>
      <c r="E16" s="188" t="s">
        <v>1841</v>
      </c>
      <c r="F16" s="188" t="s">
        <v>1842</v>
      </c>
      <c r="G16" s="190" t="s">
        <v>1843</v>
      </c>
    </row>
    <row r="17" spans="1:10" x14ac:dyDescent="0.45">
      <c r="A17" s="178" t="s">
        <v>1844</v>
      </c>
      <c r="B17" s="178"/>
      <c r="C17" s="178"/>
      <c r="D17" s="178" t="s">
        <v>1818</v>
      </c>
      <c r="E17" s="188" t="s">
        <v>1817</v>
      </c>
      <c r="F17" s="188" t="s">
        <v>1818</v>
      </c>
      <c r="G17" s="190"/>
    </row>
    <row r="18" spans="1:10" x14ac:dyDescent="0.45">
      <c r="A18" s="178" t="s">
        <v>1819</v>
      </c>
      <c r="B18" s="178" t="s">
        <v>1845</v>
      </c>
      <c r="C18" s="178" t="s">
        <v>1846</v>
      </c>
      <c r="D18" s="206">
        <v>226533.89</v>
      </c>
      <c r="E18" s="188">
        <v>0</v>
      </c>
      <c r="F18" s="188">
        <v>-137.89000000001397</v>
      </c>
      <c r="G18" s="186">
        <v>226396</v>
      </c>
      <c r="I18" t="s">
        <v>1660</v>
      </c>
      <c r="J18" s="191">
        <f t="shared" ref="J18:J23" si="1">G18</f>
        <v>226396</v>
      </c>
    </row>
    <row r="19" spans="1:10" x14ac:dyDescent="0.45">
      <c r="A19" s="178" t="s">
        <v>1819</v>
      </c>
      <c r="B19" s="178" t="s">
        <v>1847</v>
      </c>
      <c r="C19" s="178" t="s">
        <v>1848</v>
      </c>
      <c r="D19" s="207">
        <v>21200</v>
      </c>
      <c r="E19" s="188">
        <v>52950</v>
      </c>
      <c r="F19" s="188"/>
      <c r="G19" s="186">
        <v>74150</v>
      </c>
      <c r="I19" t="s">
        <v>1751</v>
      </c>
      <c r="J19" s="191">
        <f t="shared" si="1"/>
        <v>74150</v>
      </c>
    </row>
    <row r="20" spans="1:10" x14ac:dyDescent="0.45">
      <c r="A20" s="178" t="s">
        <v>1819</v>
      </c>
      <c r="B20" s="178" t="s">
        <v>1849</v>
      </c>
      <c r="C20" s="178" t="s">
        <v>1850</v>
      </c>
      <c r="D20" s="207">
        <v>14780.410000000003</v>
      </c>
      <c r="E20" s="188">
        <v>49791.391124327391</v>
      </c>
      <c r="F20" s="188">
        <v>-3155.4100000000035</v>
      </c>
      <c r="G20" s="186">
        <v>61416.391124327391</v>
      </c>
      <c r="I20" t="s">
        <v>1118</v>
      </c>
      <c r="J20" s="191">
        <f t="shared" si="1"/>
        <v>61416.391124327391</v>
      </c>
    </row>
    <row r="21" spans="1:10" x14ac:dyDescent="0.45">
      <c r="A21" s="178" t="s">
        <v>1827</v>
      </c>
      <c r="B21" s="178" t="s">
        <v>1851</v>
      </c>
      <c r="C21" s="178" t="s">
        <v>1848</v>
      </c>
      <c r="D21" s="207">
        <v>306621</v>
      </c>
      <c r="E21" s="188">
        <v>1387167</v>
      </c>
      <c r="F21" s="188"/>
      <c r="G21" s="186">
        <v>1693788</v>
      </c>
      <c r="I21" t="s">
        <v>1735</v>
      </c>
      <c r="J21" s="191">
        <f t="shared" si="1"/>
        <v>1693788</v>
      </c>
    </row>
    <row r="22" spans="1:10" x14ac:dyDescent="0.45">
      <c r="A22" s="178" t="s">
        <v>1827</v>
      </c>
      <c r="B22" s="178" t="s">
        <v>1852</v>
      </c>
      <c r="C22" s="178" t="s">
        <v>1850</v>
      </c>
      <c r="D22" s="207">
        <v>-120090</v>
      </c>
      <c r="E22" s="188">
        <v>-11148</v>
      </c>
      <c r="F22" s="188">
        <v>1450</v>
      </c>
      <c r="G22" s="186">
        <v>-129788</v>
      </c>
      <c r="I22" t="s">
        <v>1667</v>
      </c>
      <c r="J22" s="191">
        <f t="shared" si="1"/>
        <v>-129788</v>
      </c>
    </row>
    <row r="23" spans="1:10" x14ac:dyDescent="0.45">
      <c r="A23" s="178" t="s">
        <v>1819</v>
      </c>
      <c r="B23" s="178" t="s">
        <v>1853</v>
      </c>
      <c r="C23" s="178" t="s">
        <v>1850</v>
      </c>
      <c r="D23" s="207">
        <v>-126167.24</v>
      </c>
      <c r="E23" s="188">
        <v>-106722</v>
      </c>
      <c r="F23" s="188">
        <v>16040.240000000005</v>
      </c>
      <c r="G23" s="186">
        <v>-216849</v>
      </c>
      <c r="I23" t="s">
        <v>1667</v>
      </c>
      <c r="J23" s="191">
        <f t="shared" si="1"/>
        <v>-216849</v>
      </c>
    </row>
    <row r="24" spans="1:10" x14ac:dyDescent="0.45">
      <c r="A24" s="178" t="s">
        <v>1827</v>
      </c>
      <c r="B24" s="178" t="s">
        <v>1829</v>
      </c>
      <c r="C24" s="178"/>
      <c r="D24" s="207">
        <v>-322878.06000000006</v>
      </c>
      <c r="E24" s="188">
        <v>-1372038.3911243274</v>
      </c>
      <c r="F24" s="188">
        <v>-14196.939999999988</v>
      </c>
      <c r="G24" s="190">
        <v>-1709113.3911243274</v>
      </c>
      <c r="I24" t="s">
        <v>1751</v>
      </c>
      <c r="J24" s="191">
        <f t="shared" ref="J24" si="2">G24</f>
        <v>-1709113.3911243274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29248-EBDE-473C-BAB7-3F6D713F8D1B}">
  <dimension ref="A1:J519"/>
  <sheetViews>
    <sheetView zoomScale="85" zoomScaleNormal="85" workbookViewId="0">
      <selection activeCell="H1" sqref="H1"/>
    </sheetView>
  </sheetViews>
  <sheetFormatPr defaultColWidth="8.73046875" defaultRowHeight="14.25" x14ac:dyDescent="0.45"/>
  <cols>
    <col min="1" max="1" width="10.59765625" style="14" customWidth="1"/>
    <col min="2" max="2" width="40.59765625" style="14" customWidth="1"/>
    <col min="3" max="3" width="19.19921875" style="14" customWidth="1"/>
    <col min="4" max="4" width="16.796875" style="14" customWidth="1"/>
    <col min="5" max="5" width="40" style="14" customWidth="1"/>
    <col min="6" max="6" width="18.46484375" style="14" customWidth="1"/>
    <col min="7" max="7" width="12.59765625" style="14" customWidth="1"/>
    <col min="8" max="8" width="13.53125" style="14" customWidth="1"/>
    <col min="9" max="9" width="29.46484375" style="14" customWidth="1"/>
    <col min="10" max="10" width="17.73046875" style="19" customWidth="1"/>
    <col min="11" max="16384" width="8.73046875" style="14"/>
  </cols>
  <sheetData>
    <row r="1" spans="1:10" ht="14.65" x14ac:dyDescent="0.45">
      <c r="A1" s="212" t="s">
        <v>1800</v>
      </c>
      <c r="B1" s="212"/>
      <c r="C1" s="212"/>
      <c r="D1" s="212"/>
      <c r="E1" s="212"/>
      <c r="F1" s="212"/>
      <c r="G1" s="212"/>
    </row>
    <row r="2" spans="1:10" x14ac:dyDescent="0.45">
      <c r="A2" s="213" t="s">
        <v>0</v>
      </c>
      <c r="B2" s="213"/>
      <c r="C2" s="213"/>
      <c r="D2" s="213"/>
      <c r="E2" s="213"/>
      <c r="F2" s="213"/>
      <c r="G2" s="213"/>
    </row>
    <row r="3" spans="1:10" x14ac:dyDescent="0.45">
      <c r="A3" s="231" t="s">
        <v>1</v>
      </c>
      <c r="B3" s="231"/>
      <c r="C3" s="231"/>
      <c r="D3" s="231"/>
      <c r="E3" s="231"/>
      <c r="F3" s="231"/>
      <c r="G3" s="231"/>
    </row>
    <row r="4" spans="1:10" ht="14.65" thickBot="1" x14ac:dyDescent="0.5">
      <c r="A4" s="161" t="s">
        <v>2</v>
      </c>
      <c r="B4" s="161" t="s">
        <v>3</v>
      </c>
      <c r="C4" s="161" t="s">
        <v>4</v>
      </c>
      <c r="D4" s="161" t="s">
        <v>5</v>
      </c>
      <c r="E4" s="161" t="s">
        <v>6</v>
      </c>
      <c r="F4" s="161" t="s">
        <v>7</v>
      </c>
      <c r="G4" s="161" t="s">
        <v>8</v>
      </c>
      <c r="J4" s="162" t="s">
        <v>1321</v>
      </c>
    </row>
    <row r="5" spans="1:10" ht="14.65" thickTop="1" x14ac:dyDescent="0.45">
      <c r="A5" s="163" t="s">
        <v>9</v>
      </c>
      <c r="B5" s="163" t="s">
        <v>10</v>
      </c>
      <c r="C5" s="163" t="s">
        <v>0</v>
      </c>
      <c r="D5" s="164"/>
      <c r="E5" s="164">
        <v>724230.77</v>
      </c>
      <c r="F5" s="164"/>
      <c r="G5" s="164"/>
      <c r="I5" s="14" t="str">
        <f>VLOOKUP(A5,bnc_Map!A:C,3,FALSE)</f>
        <v>[BnC-1000] BnC Share Capital</v>
      </c>
      <c r="J5" s="19">
        <f>D5-E5</f>
        <v>-724230.77</v>
      </c>
    </row>
    <row r="6" spans="1:10" x14ac:dyDescent="0.45">
      <c r="A6" s="163" t="s">
        <v>11</v>
      </c>
      <c r="B6" s="163" t="s">
        <v>12</v>
      </c>
      <c r="C6" s="163" t="s">
        <v>0</v>
      </c>
      <c r="D6" s="164"/>
      <c r="E6" s="164">
        <v>777158.6</v>
      </c>
      <c r="F6" s="164"/>
      <c r="G6" s="164"/>
      <c r="I6" s="14" t="str">
        <f>VLOOKUP(A6,bnc_Map!A:C,3,FALSE)</f>
        <v>[BnC-1100] BnC Accumulated Profit / Loss</v>
      </c>
      <c r="J6" s="19">
        <f t="shared" ref="J6:J69" si="0">D6-E6</f>
        <v>-777158.6</v>
      </c>
    </row>
    <row r="7" spans="1:10" x14ac:dyDescent="0.45">
      <c r="A7" s="163" t="s">
        <v>13</v>
      </c>
      <c r="B7" s="163" t="s">
        <v>14</v>
      </c>
      <c r="C7" s="163" t="s">
        <v>0</v>
      </c>
      <c r="D7" s="164">
        <v>173918.77</v>
      </c>
      <c r="E7" s="164"/>
      <c r="F7" s="164"/>
      <c r="G7" s="164"/>
      <c r="I7" s="14" t="str">
        <f>VLOOKUP(A7,bnc_Map!A:C,3,FALSE)</f>
        <v xml:space="preserve">[BnC-2B01] BnC Baking Equipment </v>
      </c>
      <c r="J7" s="19">
        <f t="shared" si="0"/>
        <v>173918.77</v>
      </c>
    </row>
    <row r="8" spans="1:10" x14ac:dyDescent="0.45">
      <c r="A8" s="163" t="s">
        <v>15</v>
      </c>
      <c r="B8" s="163" t="s">
        <v>16</v>
      </c>
      <c r="C8" s="163" t="s">
        <v>0</v>
      </c>
      <c r="D8" s="164"/>
      <c r="E8" s="164">
        <v>27712.46</v>
      </c>
      <c r="F8" s="164"/>
      <c r="G8" s="164">
        <v>5822.15</v>
      </c>
      <c r="I8" s="14" t="str">
        <f>VLOOKUP(A8,bnc_Map!A:C,3,FALSE)</f>
        <v>[BnC-2B01] BnC Acc Depn-Baking Equipment</v>
      </c>
      <c r="J8" s="19">
        <f t="shared" si="0"/>
        <v>-27712.46</v>
      </c>
    </row>
    <row r="9" spans="1:10" x14ac:dyDescent="0.45">
      <c r="A9" s="163" t="s">
        <v>17</v>
      </c>
      <c r="B9" s="163" t="s">
        <v>18</v>
      </c>
      <c r="C9" s="163" t="s">
        <v>0</v>
      </c>
      <c r="D9" s="164">
        <v>279445.36</v>
      </c>
      <c r="E9" s="164"/>
      <c r="F9" s="164"/>
      <c r="G9" s="164"/>
      <c r="I9" s="14" t="str">
        <f>VLOOKUP(A9,bnc_Map!A:C,3,FALSE)</f>
        <v xml:space="preserve">[BnC-2B01] BnC Baking Equipment </v>
      </c>
      <c r="J9" s="19">
        <f t="shared" si="0"/>
        <v>279445.36</v>
      </c>
    </row>
    <row r="10" spans="1:10" x14ac:dyDescent="0.45">
      <c r="A10" s="163" t="s">
        <v>19</v>
      </c>
      <c r="B10" s="163" t="s">
        <v>20</v>
      </c>
      <c r="C10" s="163" t="s">
        <v>0</v>
      </c>
      <c r="D10" s="164"/>
      <c r="E10" s="164">
        <v>231268.81</v>
      </c>
      <c r="F10" s="164"/>
      <c r="G10" s="164">
        <v>495.02</v>
      </c>
      <c r="I10" s="14" t="str">
        <f>VLOOKUP(A10,bnc_Map!A:C,3,FALSE)</f>
        <v>[BnC-2B01] BnC Acc Depn-Baking Equipment</v>
      </c>
      <c r="J10" s="19">
        <f t="shared" si="0"/>
        <v>-231268.81</v>
      </c>
    </row>
    <row r="11" spans="1:10" x14ac:dyDescent="0.45">
      <c r="A11" s="163" t="s">
        <v>21</v>
      </c>
      <c r="B11" s="163" t="s">
        <v>22</v>
      </c>
      <c r="C11" s="163" t="s">
        <v>0</v>
      </c>
      <c r="D11" s="164">
        <v>54470.38</v>
      </c>
      <c r="E11" s="164"/>
      <c r="F11" s="164"/>
      <c r="G11" s="164"/>
      <c r="I11" s="14" t="str">
        <f>VLOOKUP(A11,bnc_Map!A:C,3,FALSE)</f>
        <v xml:space="preserve">[BnC-2B01] BnC Baking Equipment </v>
      </c>
      <c r="J11" s="19">
        <f t="shared" si="0"/>
        <v>54470.38</v>
      </c>
    </row>
    <row r="12" spans="1:10" x14ac:dyDescent="0.45">
      <c r="A12" s="163" t="s">
        <v>23</v>
      </c>
      <c r="B12" s="163" t="s">
        <v>24</v>
      </c>
      <c r="C12" s="163" t="s">
        <v>0</v>
      </c>
      <c r="D12" s="164"/>
      <c r="E12" s="164">
        <v>47875.07</v>
      </c>
      <c r="F12" s="164"/>
      <c r="G12" s="164">
        <v>451.47</v>
      </c>
      <c r="I12" s="14" t="str">
        <f>VLOOKUP(A12,bnc_Map!A:C,3,FALSE)</f>
        <v>[BnC-2B01] BnC Acc Depn-Baking Equipment</v>
      </c>
      <c r="J12" s="19">
        <f t="shared" si="0"/>
        <v>-47875.07</v>
      </c>
    </row>
    <row r="13" spans="1:10" x14ac:dyDescent="0.45">
      <c r="A13" s="163" t="s">
        <v>25</v>
      </c>
      <c r="B13" s="163" t="s">
        <v>26</v>
      </c>
      <c r="C13" s="163" t="s">
        <v>0</v>
      </c>
      <c r="D13" s="164">
        <v>16806.52</v>
      </c>
      <c r="E13" s="164"/>
      <c r="F13" s="164"/>
      <c r="G13" s="164"/>
      <c r="I13" s="14" t="str">
        <f>VLOOKUP(A13,bnc_Map!A:C,3,FALSE)</f>
        <v xml:space="preserve">[BnC-2B01] BnC Baking Equipment </v>
      </c>
      <c r="J13" s="19">
        <f t="shared" si="0"/>
        <v>16806.52</v>
      </c>
    </row>
    <row r="14" spans="1:10" x14ac:dyDescent="0.45">
      <c r="A14" s="163" t="s">
        <v>27</v>
      </c>
      <c r="B14" s="163" t="s">
        <v>28</v>
      </c>
      <c r="C14" s="163" t="s">
        <v>0</v>
      </c>
      <c r="D14" s="164"/>
      <c r="E14" s="164">
        <v>14552.44</v>
      </c>
      <c r="F14" s="164"/>
      <c r="G14" s="164">
        <v>148.93</v>
      </c>
      <c r="I14" s="14" t="str">
        <f>VLOOKUP(A14,bnc_Map!A:C,3,FALSE)</f>
        <v>[BnC-2B01] BnC Acc Depn-Baking Equipment</v>
      </c>
      <c r="J14" s="19">
        <f t="shared" si="0"/>
        <v>-14552.44</v>
      </c>
    </row>
    <row r="15" spans="1:10" x14ac:dyDescent="0.45">
      <c r="A15" s="163" t="s">
        <v>29</v>
      </c>
      <c r="B15" s="163" t="s">
        <v>30</v>
      </c>
      <c r="C15" s="163" t="s">
        <v>0</v>
      </c>
      <c r="D15" s="164">
        <v>128862.03</v>
      </c>
      <c r="E15" s="164"/>
      <c r="F15" s="164"/>
      <c r="G15" s="164"/>
      <c r="I15" s="14" t="str">
        <f>VLOOKUP(A15,bnc_Map!A:C,3,FALSE)</f>
        <v xml:space="preserve">[BnC-2B01] BnC Baking Equipment </v>
      </c>
      <c r="J15" s="19">
        <f t="shared" si="0"/>
        <v>128862.03</v>
      </c>
    </row>
    <row r="16" spans="1:10" x14ac:dyDescent="0.45">
      <c r="A16" s="163" t="s">
        <v>31</v>
      </c>
      <c r="B16" s="163" t="s">
        <v>32</v>
      </c>
      <c r="C16" s="163" t="s">
        <v>0</v>
      </c>
      <c r="D16" s="164"/>
      <c r="E16" s="164">
        <v>99508.42</v>
      </c>
      <c r="F16" s="164"/>
      <c r="G16" s="164">
        <v>1467.8</v>
      </c>
      <c r="I16" s="14" t="str">
        <f>VLOOKUP(A16,bnc_Map!A:C,3,FALSE)</f>
        <v>[BnC-2B01] BnC Acc Depn-Baking Equipment</v>
      </c>
      <c r="J16" s="19">
        <f t="shared" si="0"/>
        <v>-99508.42</v>
      </c>
    </row>
    <row r="17" spans="1:10" x14ac:dyDescent="0.45">
      <c r="A17" s="163" t="s">
        <v>33</v>
      </c>
      <c r="B17" s="163" t="s">
        <v>34</v>
      </c>
      <c r="C17" s="163" t="s">
        <v>0</v>
      </c>
      <c r="D17" s="164">
        <v>71300</v>
      </c>
      <c r="E17" s="164"/>
      <c r="F17" s="164"/>
      <c r="G17" s="164"/>
      <c r="I17" s="14" t="str">
        <f>VLOOKUP(A17,bnc_Map!A:C,3,FALSE)</f>
        <v xml:space="preserve">[BnC-2B01] BnC Baking Equipment </v>
      </c>
      <c r="J17" s="19">
        <f t="shared" si="0"/>
        <v>71300</v>
      </c>
    </row>
    <row r="18" spans="1:10" x14ac:dyDescent="0.45">
      <c r="A18" s="163" t="s">
        <v>35</v>
      </c>
      <c r="B18" s="163" t="s">
        <v>36</v>
      </c>
      <c r="C18" s="163" t="s">
        <v>0</v>
      </c>
      <c r="D18" s="164"/>
      <c r="E18" s="164">
        <v>57610.14</v>
      </c>
      <c r="F18" s="164"/>
      <c r="G18" s="164">
        <v>604.94000000000005</v>
      </c>
      <c r="I18" s="14" t="str">
        <f>VLOOKUP(A18,bnc_Map!A:C,3,FALSE)</f>
        <v>[BnC-2B01] BnC Acc Depn-Baking Equipment</v>
      </c>
      <c r="J18" s="19">
        <f t="shared" si="0"/>
        <v>-57610.14</v>
      </c>
    </row>
    <row r="19" spans="1:10" x14ac:dyDescent="0.45">
      <c r="A19" s="163" t="s">
        <v>37</v>
      </c>
      <c r="B19" s="163" t="s">
        <v>38</v>
      </c>
      <c r="C19" s="163" t="s">
        <v>0</v>
      </c>
      <c r="D19" s="164">
        <v>79360.52</v>
      </c>
      <c r="E19" s="164"/>
      <c r="F19" s="164"/>
      <c r="G19" s="164"/>
      <c r="I19" s="14" t="str">
        <f>VLOOKUP(A19,bnc_Map!A:C,3,FALSE)</f>
        <v xml:space="preserve">[BnC-2B01] BnC Baking Equipment </v>
      </c>
      <c r="J19" s="19">
        <f t="shared" si="0"/>
        <v>79360.52</v>
      </c>
    </row>
    <row r="20" spans="1:10" x14ac:dyDescent="0.45">
      <c r="A20" s="163" t="s">
        <v>39</v>
      </c>
      <c r="B20" s="163" t="s">
        <v>40</v>
      </c>
      <c r="C20" s="163" t="s">
        <v>0</v>
      </c>
      <c r="D20" s="164"/>
      <c r="E20" s="164">
        <v>52514.96</v>
      </c>
      <c r="F20" s="164"/>
      <c r="G20" s="164">
        <v>895.67</v>
      </c>
      <c r="I20" s="14" t="str">
        <f>VLOOKUP(A20,bnc_Map!A:C,3,FALSE)</f>
        <v>[BnC-2B01] BnC Acc Depn-Baking Equipment</v>
      </c>
      <c r="J20" s="19">
        <f t="shared" si="0"/>
        <v>-52514.96</v>
      </c>
    </row>
    <row r="21" spans="1:10" x14ac:dyDescent="0.45">
      <c r="A21" s="163" t="s">
        <v>41</v>
      </c>
      <c r="B21" s="163" t="s">
        <v>42</v>
      </c>
      <c r="C21" s="163" t="s">
        <v>0</v>
      </c>
      <c r="D21" s="164">
        <v>32550</v>
      </c>
      <c r="E21" s="164"/>
      <c r="F21" s="164"/>
      <c r="G21" s="164"/>
      <c r="I21" s="14" t="str">
        <f>VLOOKUP(A21,bnc_Map!A:C,3,FALSE)</f>
        <v xml:space="preserve">[BnC-2B01] BnC Baking Equipment </v>
      </c>
      <c r="J21" s="19">
        <f t="shared" si="0"/>
        <v>32550</v>
      </c>
    </row>
    <row r="22" spans="1:10" x14ac:dyDescent="0.45">
      <c r="A22" s="163" t="s">
        <v>43</v>
      </c>
      <c r="B22" s="163" t="s">
        <v>44</v>
      </c>
      <c r="C22" s="163" t="s">
        <v>0</v>
      </c>
      <c r="D22" s="164"/>
      <c r="E22" s="164">
        <v>22038.25</v>
      </c>
      <c r="F22" s="164"/>
      <c r="G22" s="164">
        <v>339.05</v>
      </c>
      <c r="I22" s="14" t="str">
        <f>VLOOKUP(A22,bnc_Map!A:C,3,FALSE)</f>
        <v>[BnC-2B01] BnC Acc Depn-Baking Equipment</v>
      </c>
      <c r="J22" s="19">
        <f t="shared" si="0"/>
        <v>-22038.25</v>
      </c>
    </row>
    <row r="23" spans="1:10" x14ac:dyDescent="0.45">
      <c r="A23" s="163" t="s">
        <v>45</v>
      </c>
      <c r="B23" s="163" t="s">
        <v>46</v>
      </c>
      <c r="C23" s="163" t="s">
        <v>0</v>
      </c>
      <c r="D23" s="164">
        <v>166937.59</v>
      </c>
      <c r="E23" s="164"/>
      <c r="F23" s="164"/>
      <c r="G23" s="164"/>
      <c r="I23" s="14" t="str">
        <f>VLOOKUP(A23,bnc_Map!A:C,3,FALSE)</f>
        <v xml:space="preserve">[BnC-2B01] BnC Baking Equipment </v>
      </c>
      <c r="J23" s="19">
        <f t="shared" si="0"/>
        <v>166937.59</v>
      </c>
    </row>
    <row r="24" spans="1:10" x14ac:dyDescent="0.45">
      <c r="A24" s="163" t="s">
        <v>47</v>
      </c>
      <c r="B24" s="163" t="s">
        <v>48</v>
      </c>
      <c r="C24" s="163" t="s">
        <v>0</v>
      </c>
      <c r="D24" s="164"/>
      <c r="E24" s="164">
        <v>109553.22</v>
      </c>
      <c r="F24" s="164"/>
      <c r="G24" s="164">
        <v>1738.94</v>
      </c>
      <c r="I24" s="14" t="str">
        <f>VLOOKUP(A24,bnc_Map!A:C,3,FALSE)</f>
        <v>[BnC-2B01] BnC Acc Depn-Baking Equipment</v>
      </c>
      <c r="J24" s="19">
        <f t="shared" si="0"/>
        <v>-109553.22</v>
      </c>
    </row>
    <row r="25" spans="1:10" x14ac:dyDescent="0.45">
      <c r="A25" s="163" t="s">
        <v>49</v>
      </c>
      <c r="B25" s="163" t="s">
        <v>50</v>
      </c>
      <c r="C25" s="163" t="s">
        <v>0</v>
      </c>
      <c r="D25" s="164">
        <v>187590.55</v>
      </c>
      <c r="E25" s="164"/>
      <c r="F25" s="164"/>
      <c r="G25" s="164"/>
      <c r="I25" s="14" t="str">
        <f>VLOOKUP(A25,bnc_Map!A:C,3,FALSE)</f>
        <v xml:space="preserve">[BnC-2B01] BnC Baking Equipment </v>
      </c>
      <c r="J25" s="19">
        <f t="shared" si="0"/>
        <v>187590.55</v>
      </c>
    </row>
    <row r="26" spans="1:10" x14ac:dyDescent="0.45">
      <c r="A26" s="163" t="s">
        <v>51</v>
      </c>
      <c r="B26" s="163" t="s">
        <v>52</v>
      </c>
      <c r="C26" s="163" t="s">
        <v>0</v>
      </c>
      <c r="D26" s="164"/>
      <c r="E26" s="164">
        <v>151200.18</v>
      </c>
      <c r="F26" s="164"/>
      <c r="G26" s="164">
        <v>3908.08</v>
      </c>
      <c r="I26" s="14" t="str">
        <f>VLOOKUP(A26,bnc_Map!A:C,3,FALSE)</f>
        <v>[BnC-2B01] BnC Acc Depn-Baking Equipment</v>
      </c>
      <c r="J26" s="19">
        <f t="shared" si="0"/>
        <v>-151200.18</v>
      </c>
    </row>
    <row r="27" spans="1:10" x14ac:dyDescent="0.45">
      <c r="A27" s="163" t="s">
        <v>53</v>
      </c>
      <c r="B27" s="163" t="s">
        <v>54</v>
      </c>
      <c r="C27" s="163" t="s">
        <v>0</v>
      </c>
      <c r="D27" s="164">
        <v>171540.36</v>
      </c>
      <c r="E27" s="164"/>
      <c r="F27" s="164"/>
      <c r="G27" s="164"/>
      <c r="I27" s="14" t="str">
        <f>VLOOKUP(A27,bnc_Map!A:C,3,FALSE)</f>
        <v xml:space="preserve">[BnC-2B01] BnC Baking Equipment </v>
      </c>
      <c r="J27" s="19">
        <f t="shared" si="0"/>
        <v>171540.36</v>
      </c>
    </row>
    <row r="28" spans="1:10" x14ac:dyDescent="0.45">
      <c r="A28" s="163" t="s">
        <v>55</v>
      </c>
      <c r="B28" s="163" t="s">
        <v>56</v>
      </c>
      <c r="C28" s="163" t="s">
        <v>0</v>
      </c>
      <c r="D28" s="164"/>
      <c r="E28" s="164">
        <v>128653.2</v>
      </c>
      <c r="F28" s="164"/>
      <c r="G28" s="164">
        <v>3573.7</v>
      </c>
      <c r="I28" s="14" t="str">
        <f>VLOOKUP(A28,bnc_Map!A:C,3,FALSE)</f>
        <v>[BnC-2B01] BnC Acc Depn-Baking Equipment</v>
      </c>
      <c r="J28" s="19">
        <f t="shared" si="0"/>
        <v>-128653.2</v>
      </c>
    </row>
    <row r="29" spans="1:10" x14ac:dyDescent="0.45">
      <c r="A29" s="163" t="s">
        <v>57</v>
      </c>
      <c r="B29" s="163" t="s">
        <v>58</v>
      </c>
      <c r="C29" s="163" t="s">
        <v>0</v>
      </c>
      <c r="D29" s="164">
        <v>101566.32</v>
      </c>
      <c r="E29" s="164"/>
      <c r="F29" s="164"/>
      <c r="G29" s="164"/>
      <c r="I29" s="14" t="str">
        <f>VLOOKUP(A29,bnc_Map!A:C,3,FALSE)</f>
        <v xml:space="preserve">[BnC-2B01] BnC Baking Equipment </v>
      </c>
      <c r="J29" s="19">
        <f t="shared" si="0"/>
        <v>101566.32</v>
      </c>
    </row>
    <row r="30" spans="1:10" x14ac:dyDescent="0.45">
      <c r="A30" s="163" t="s">
        <v>59</v>
      </c>
      <c r="B30" s="163" t="s">
        <v>60</v>
      </c>
      <c r="C30" s="163" t="s">
        <v>0</v>
      </c>
      <c r="D30" s="164"/>
      <c r="E30" s="164">
        <v>74061.2</v>
      </c>
      <c r="F30" s="164"/>
      <c r="G30" s="164">
        <v>2116</v>
      </c>
      <c r="I30" s="14" t="str">
        <f>VLOOKUP(A30,bnc_Map!A:C,3,FALSE)</f>
        <v>[BnC-2B01] BnC Acc Depn-Baking Equipment</v>
      </c>
      <c r="J30" s="19">
        <f t="shared" si="0"/>
        <v>-74061.2</v>
      </c>
    </row>
    <row r="31" spans="1:10" x14ac:dyDescent="0.45">
      <c r="A31" s="163" t="s">
        <v>61</v>
      </c>
      <c r="B31" s="163" t="s">
        <v>62</v>
      </c>
      <c r="C31" s="163" t="s">
        <v>0</v>
      </c>
      <c r="D31" s="164">
        <v>144605.93</v>
      </c>
      <c r="E31" s="164"/>
      <c r="F31" s="164"/>
      <c r="G31" s="164"/>
      <c r="I31" s="14" t="str">
        <f>VLOOKUP(A31,bnc_Map!A:C,3,FALSE)</f>
        <v xml:space="preserve">[BnC-2B01] BnC Baking Equipment </v>
      </c>
      <c r="J31" s="19">
        <f t="shared" si="0"/>
        <v>144605.93</v>
      </c>
    </row>
    <row r="32" spans="1:10" x14ac:dyDescent="0.45">
      <c r="A32" s="163" t="s">
        <v>63</v>
      </c>
      <c r="B32" s="163" t="s">
        <v>64</v>
      </c>
      <c r="C32" s="163" t="s">
        <v>0</v>
      </c>
      <c r="D32" s="164"/>
      <c r="E32" s="164">
        <v>84526.58</v>
      </c>
      <c r="F32" s="164"/>
      <c r="G32" s="164">
        <v>3140.37</v>
      </c>
      <c r="I32" s="14" t="str">
        <f>VLOOKUP(A32,bnc_Map!A:C,3,FALSE)</f>
        <v>[BnC-2B01] BnC Acc Depn-Baking Equipment</v>
      </c>
      <c r="J32" s="19">
        <f t="shared" si="0"/>
        <v>-84526.58</v>
      </c>
    </row>
    <row r="33" spans="1:10" x14ac:dyDescent="0.45">
      <c r="A33" s="163" t="s">
        <v>65</v>
      </c>
      <c r="B33" s="163" t="s">
        <v>66</v>
      </c>
      <c r="C33" s="163" t="s">
        <v>0</v>
      </c>
      <c r="D33" s="164">
        <v>96957.52</v>
      </c>
      <c r="E33" s="164"/>
      <c r="F33" s="164"/>
      <c r="G33" s="164"/>
      <c r="I33" s="14" t="str">
        <f>VLOOKUP(A33,bnc_Map!A:C,3,FALSE)</f>
        <v xml:space="preserve">[BnC-2B01] BnC Baking Equipment </v>
      </c>
      <c r="J33" s="19">
        <f t="shared" si="0"/>
        <v>96957.52</v>
      </c>
    </row>
    <row r="34" spans="1:10" x14ac:dyDescent="0.45">
      <c r="A34" s="163" t="s">
        <v>67</v>
      </c>
      <c r="B34" s="163" t="s">
        <v>68</v>
      </c>
      <c r="C34" s="163" t="s">
        <v>0</v>
      </c>
      <c r="D34" s="164"/>
      <c r="E34" s="164">
        <v>24606.04</v>
      </c>
      <c r="F34" s="164"/>
      <c r="G34" s="164">
        <v>2065.7800000000002</v>
      </c>
      <c r="I34" s="14" t="str">
        <f>VLOOKUP(A34,bnc_Map!A:C,3,FALSE)</f>
        <v>[BnC-2B01] BnC Acc Depn-Baking Equipment</v>
      </c>
      <c r="J34" s="19">
        <f t="shared" si="0"/>
        <v>-24606.04</v>
      </c>
    </row>
    <row r="35" spans="1:10" x14ac:dyDescent="0.45">
      <c r="A35" s="163" t="s">
        <v>73</v>
      </c>
      <c r="B35" s="163" t="s">
        <v>74</v>
      </c>
      <c r="C35" s="163" t="s">
        <v>0</v>
      </c>
      <c r="D35" s="164">
        <v>14924.67</v>
      </c>
      <c r="E35" s="164"/>
      <c r="F35" s="164"/>
      <c r="G35" s="164"/>
      <c r="I35" s="14" t="str">
        <f>VLOOKUP(A35,bnc_Map!A:C,3,FALSE)</f>
        <v>[BnC-2C01] BnC Computer</v>
      </c>
      <c r="J35" s="19">
        <f t="shared" si="0"/>
        <v>14924.67</v>
      </c>
    </row>
    <row r="36" spans="1:10" x14ac:dyDescent="0.45">
      <c r="A36" s="163" t="s">
        <v>75</v>
      </c>
      <c r="B36" s="163" t="s">
        <v>76</v>
      </c>
      <c r="C36" s="163" t="s">
        <v>0</v>
      </c>
      <c r="D36" s="164"/>
      <c r="E36" s="164">
        <v>9355.6200000000008</v>
      </c>
      <c r="F36" s="164"/>
      <c r="G36" s="164">
        <v>235.38</v>
      </c>
      <c r="I36" s="14" t="str">
        <f>VLOOKUP(A36,bnc_Map!A:C,3,FALSE)</f>
        <v>[BnC-2C01] BnC Acc Depreciation - Computer</v>
      </c>
      <c r="J36" s="19">
        <f t="shared" si="0"/>
        <v>-9355.6200000000008</v>
      </c>
    </row>
    <row r="37" spans="1:10" x14ac:dyDescent="0.45">
      <c r="A37" s="163" t="s">
        <v>77</v>
      </c>
      <c r="B37" s="163" t="s">
        <v>78</v>
      </c>
      <c r="C37" s="163" t="s">
        <v>0</v>
      </c>
      <c r="D37" s="164">
        <v>1380.77</v>
      </c>
      <c r="E37" s="164"/>
      <c r="F37" s="164"/>
      <c r="G37" s="164"/>
      <c r="I37" s="14" t="str">
        <f>VLOOKUP(A37,bnc_Map!A:C,3,FALSE)</f>
        <v>[BnC-2C01] BnC Computer</v>
      </c>
      <c r="J37" s="19">
        <f t="shared" si="0"/>
        <v>1380.77</v>
      </c>
    </row>
    <row r="38" spans="1:10" x14ac:dyDescent="0.45">
      <c r="A38" s="163" t="s">
        <v>79</v>
      </c>
      <c r="B38" s="163" t="s">
        <v>80</v>
      </c>
      <c r="C38" s="163" t="s">
        <v>0</v>
      </c>
      <c r="D38" s="164"/>
      <c r="E38" s="164">
        <v>957.59</v>
      </c>
      <c r="F38" s="164"/>
      <c r="G38" s="164">
        <v>13.23</v>
      </c>
      <c r="I38" s="14" t="str">
        <f>VLOOKUP(A38,bnc_Map!A:C,3,FALSE)</f>
        <v>[BnC-2C01] BnC Acc Depreciation - Computer</v>
      </c>
      <c r="J38" s="19">
        <f t="shared" si="0"/>
        <v>-957.59</v>
      </c>
    </row>
    <row r="39" spans="1:10" x14ac:dyDescent="0.45">
      <c r="A39" s="163" t="s">
        <v>81</v>
      </c>
      <c r="B39" s="163" t="s">
        <v>82</v>
      </c>
      <c r="C39" s="163" t="s">
        <v>0</v>
      </c>
      <c r="D39" s="164">
        <v>2702</v>
      </c>
      <c r="E39" s="164"/>
      <c r="F39" s="164"/>
      <c r="G39" s="164"/>
      <c r="I39" s="14" t="str">
        <f>VLOOKUP(A39,bnc_Map!A:C,3,FALSE)</f>
        <v>[BnC-2C01] BnC Computer</v>
      </c>
      <c r="J39" s="19">
        <f t="shared" si="0"/>
        <v>2702</v>
      </c>
    </row>
    <row r="40" spans="1:10" x14ac:dyDescent="0.45">
      <c r="A40" s="163" t="s">
        <v>83</v>
      </c>
      <c r="B40" s="163" t="s">
        <v>84</v>
      </c>
      <c r="C40" s="163" t="s">
        <v>0</v>
      </c>
      <c r="D40" s="164"/>
      <c r="E40" s="164">
        <v>1350.95</v>
      </c>
      <c r="F40" s="164"/>
      <c r="G40" s="164">
        <v>112.58</v>
      </c>
      <c r="I40" s="14" t="str">
        <f>VLOOKUP(A40,bnc_Map!A:C,3,FALSE)</f>
        <v>[BnC-2C01] BnC Acc Depreciation - Computer</v>
      </c>
      <c r="J40" s="19">
        <f t="shared" si="0"/>
        <v>-1350.95</v>
      </c>
    </row>
    <row r="41" spans="1:10" x14ac:dyDescent="0.45">
      <c r="A41" s="163" t="s">
        <v>89</v>
      </c>
      <c r="B41" s="163" t="s">
        <v>90</v>
      </c>
      <c r="C41" s="163" t="s">
        <v>0</v>
      </c>
      <c r="D41" s="164">
        <v>8415.2000000000007</v>
      </c>
      <c r="E41" s="164"/>
      <c r="F41" s="164"/>
      <c r="G41" s="164"/>
      <c r="I41" s="14" t="str">
        <f>VLOOKUP(A41,bnc_Map!A:C,3,FALSE)</f>
        <v>[BnC-2F01] BnC Furniture &amp; Fitting</v>
      </c>
      <c r="J41" s="19">
        <f t="shared" si="0"/>
        <v>8415.2000000000007</v>
      </c>
    </row>
    <row r="42" spans="1:10" x14ac:dyDescent="0.45">
      <c r="A42" s="163" t="s">
        <v>91</v>
      </c>
      <c r="B42" s="163" t="s">
        <v>92</v>
      </c>
      <c r="C42" s="163" t="s">
        <v>0</v>
      </c>
      <c r="D42" s="164"/>
      <c r="E42" s="164">
        <v>811.36</v>
      </c>
      <c r="F42" s="164"/>
      <c r="G42" s="164">
        <v>233.76</v>
      </c>
      <c r="I42" s="14" t="str">
        <f>VLOOKUP(A42,bnc_Map!A:C,3,FALSE)</f>
        <v>[BnC-2F01] BnC Acc Depn - Furniture &amp; Fitting</v>
      </c>
      <c r="J42" s="19">
        <f t="shared" si="0"/>
        <v>-811.36</v>
      </c>
    </row>
    <row r="43" spans="1:10" x14ac:dyDescent="0.45">
      <c r="A43" s="163" t="s">
        <v>93</v>
      </c>
      <c r="B43" s="163" t="s">
        <v>94</v>
      </c>
      <c r="C43" s="163" t="s">
        <v>0</v>
      </c>
      <c r="D43" s="164">
        <v>42926.64</v>
      </c>
      <c r="E43" s="164"/>
      <c r="F43" s="164"/>
      <c r="G43" s="164"/>
      <c r="I43" s="14" t="str">
        <f>VLOOKUP(A43,bnc_Map!A:C,3,FALSE)</f>
        <v>[BnC-2F01] BnC Furniture &amp; Fitting</v>
      </c>
      <c r="J43" s="19">
        <f t="shared" si="0"/>
        <v>42926.64</v>
      </c>
    </row>
    <row r="44" spans="1:10" x14ac:dyDescent="0.45">
      <c r="A44" s="163" t="s">
        <v>95</v>
      </c>
      <c r="B44" s="163" t="s">
        <v>96</v>
      </c>
      <c r="C44" s="163" t="s">
        <v>0</v>
      </c>
      <c r="D44" s="164"/>
      <c r="E44" s="164">
        <v>37526.639999999999</v>
      </c>
      <c r="F44" s="164"/>
      <c r="G44" s="164">
        <v>175</v>
      </c>
      <c r="I44" s="14" t="str">
        <f>VLOOKUP(A44,bnc_Map!A:C,3,FALSE)</f>
        <v>[BnC-2F01] BnC Acc Depn - Furniture &amp; Fitting</v>
      </c>
      <c r="J44" s="19">
        <f t="shared" si="0"/>
        <v>-37526.639999999999</v>
      </c>
    </row>
    <row r="45" spans="1:10" x14ac:dyDescent="0.45">
      <c r="A45" s="163" t="s">
        <v>97</v>
      </c>
      <c r="B45" s="163" t="s">
        <v>98</v>
      </c>
      <c r="C45" s="163" t="s">
        <v>0</v>
      </c>
      <c r="D45" s="164">
        <v>40754.43</v>
      </c>
      <c r="E45" s="164"/>
      <c r="F45" s="164"/>
      <c r="G45" s="164"/>
      <c r="I45" s="14" t="str">
        <f>VLOOKUP(A45,bnc_Map!A:C,3,FALSE)</f>
        <v>[BnC-2F01] BnC Furniture &amp; Fitting</v>
      </c>
      <c r="J45" s="19">
        <f t="shared" si="0"/>
        <v>40754.43</v>
      </c>
    </row>
    <row r="46" spans="1:10" x14ac:dyDescent="0.45">
      <c r="A46" s="163" t="s">
        <v>99</v>
      </c>
      <c r="B46" s="163" t="s">
        <v>100</v>
      </c>
      <c r="C46" s="163" t="s">
        <v>0</v>
      </c>
      <c r="D46" s="164"/>
      <c r="E46" s="164">
        <v>40754.43</v>
      </c>
      <c r="F46" s="164"/>
      <c r="G46" s="164"/>
      <c r="I46" s="14" t="str">
        <f>VLOOKUP(A46,bnc_Map!A:C,3,FALSE)</f>
        <v>[BnC-2F01] BnC Acc Depn - Furniture &amp; Fitting</v>
      </c>
      <c r="J46" s="19">
        <f t="shared" si="0"/>
        <v>-40754.43</v>
      </c>
    </row>
    <row r="47" spans="1:10" x14ac:dyDescent="0.45">
      <c r="A47" s="163" t="s">
        <v>101</v>
      </c>
      <c r="B47" s="163" t="s">
        <v>102</v>
      </c>
      <c r="C47" s="163" t="s">
        <v>0</v>
      </c>
      <c r="D47" s="164">
        <v>37420.18</v>
      </c>
      <c r="E47" s="164"/>
      <c r="F47" s="164"/>
      <c r="G47" s="164"/>
      <c r="I47" s="14" t="str">
        <f>VLOOKUP(A47,bnc_Map!A:C,3,FALSE)</f>
        <v>[BnC-2F01] BnC Furniture &amp; Fitting</v>
      </c>
      <c r="J47" s="19">
        <f t="shared" si="0"/>
        <v>37420.18</v>
      </c>
    </row>
    <row r="48" spans="1:10" x14ac:dyDescent="0.45">
      <c r="A48" s="163" t="s">
        <v>103</v>
      </c>
      <c r="B48" s="163" t="s">
        <v>104</v>
      </c>
      <c r="C48" s="163" t="s">
        <v>0</v>
      </c>
      <c r="D48" s="164"/>
      <c r="E48" s="164">
        <v>37420.18</v>
      </c>
      <c r="F48" s="164"/>
      <c r="G48" s="164"/>
      <c r="I48" s="14" t="str">
        <f>VLOOKUP(A48,bnc_Map!A:C,3,FALSE)</f>
        <v>[BnC-2F01] BnC Acc Depn - Furniture &amp; Fitting</v>
      </c>
      <c r="J48" s="19">
        <f t="shared" si="0"/>
        <v>-37420.18</v>
      </c>
    </row>
    <row r="49" spans="1:10" x14ac:dyDescent="0.45">
      <c r="A49" s="163" t="s">
        <v>105</v>
      </c>
      <c r="B49" s="163" t="s">
        <v>106</v>
      </c>
      <c r="C49" s="163" t="s">
        <v>0</v>
      </c>
      <c r="D49" s="164">
        <v>51357.760000000002</v>
      </c>
      <c r="E49" s="164"/>
      <c r="F49" s="164"/>
      <c r="G49" s="164"/>
      <c r="I49" s="14" t="str">
        <f>VLOOKUP(A49,bnc_Map!A:C,3,FALSE)</f>
        <v>[BnC-2F01] BnC Furniture &amp; Fitting</v>
      </c>
      <c r="J49" s="19">
        <f t="shared" si="0"/>
        <v>51357.760000000002</v>
      </c>
    </row>
    <row r="50" spans="1:10" x14ac:dyDescent="0.45">
      <c r="A50" s="163" t="s">
        <v>107</v>
      </c>
      <c r="B50" s="163" t="s">
        <v>108</v>
      </c>
      <c r="C50" s="163" t="s">
        <v>0</v>
      </c>
      <c r="D50" s="164"/>
      <c r="E50" s="164">
        <v>43770.04</v>
      </c>
      <c r="F50" s="164"/>
      <c r="G50" s="164">
        <v>561.32000000000005</v>
      </c>
      <c r="I50" s="14" t="str">
        <f>VLOOKUP(A50,bnc_Map!A:C,3,FALSE)</f>
        <v>[BnC-2F01] BnC Acc Depn - Furniture &amp; Fitting</v>
      </c>
      <c r="J50" s="19">
        <f t="shared" si="0"/>
        <v>-43770.04</v>
      </c>
    </row>
    <row r="51" spans="1:10" x14ac:dyDescent="0.45">
      <c r="A51" s="163" t="s">
        <v>109</v>
      </c>
      <c r="B51" s="163" t="s">
        <v>110</v>
      </c>
      <c r="C51" s="163" t="s">
        <v>0</v>
      </c>
      <c r="D51" s="164">
        <v>14858.87</v>
      </c>
      <c r="E51" s="164"/>
      <c r="F51" s="164"/>
      <c r="G51" s="164"/>
      <c r="I51" s="14" t="str">
        <f>VLOOKUP(A51,bnc_Map!A:C,3,FALSE)</f>
        <v>[BnC-2F01] BnC Furniture &amp; Fitting</v>
      </c>
      <c r="J51" s="19">
        <f t="shared" si="0"/>
        <v>14858.87</v>
      </c>
    </row>
    <row r="52" spans="1:10" x14ac:dyDescent="0.45">
      <c r="A52" s="163" t="s">
        <v>111</v>
      </c>
      <c r="B52" s="163" t="s">
        <v>112</v>
      </c>
      <c r="C52" s="163" t="s">
        <v>0</v>
      </c>
      <c r="D52" s="164"/>
      <c r="E52" s="164">
        <v>12835.4</v>
      </c>
      <c r="F52" s="164"/>
      <c r="G52" s="164">
        <v>80.56</v>
      </c>
      <c r="I52" s="14" t="str">
        <f>VLOOKUP(A52,bnc_Map!A:C,3,FALSE)</f>
        <v>[BnC-2F01] BnC Acc Depn - Furniture &amp; Fitting</v>
      </c>
      <c r="J52" s="19">
        <f t="shared" si="0"/>
        <v>-12835.4</v>
      </c>
    </row>
    <row r="53" spans="1:10" x14ac:dyDescent="0.45">
      <c r="A53" s="163" t="s">
        <v>113</v>
      </c>
      <c r="B53" s="163" t="s">
        <v>114</v>
      </c>
      <c r="C53" s="163" t="s">
        <v>0</v>
      </c>
      <c r="D53" s="164">
        <v>47690.720000000001</v>
      </c>
      <c r="E53" s="164"/>
      <c r="F53" s="164"/>
      <c r="G53" s="164"/>
      <c r="I53" s="14" t="str">
        <f>VLOOKUP(A53,bnc_Map!A:C,3,FALSE)</f>
        <v>[BnC-2F01] BnC Furniture &amp; Fitting</v>
      </c>
      <c r="J53" s="19">
        <f t="shared" si="0"/>
        <v>47690.720000000001</v>
      </c>
    </row>
    <row r="54" spans="1:10" x14ac:dyDescent="0.45">
      <c r="A54" s="163" t="s">
        <v>115</v>
      </c>
      <c r="B54" s="163" t="s">
        <v>116</v>
      </c>
      <c r="C54" s="163" t="s">
        <v>0</v>
      </c>
      <c r="D54" s="164"/>
      <c r="E54" s="164">
        <v>47590.5</v>
      </c>
      <c r="F54" s="164"/>
      <c r="G54" s="164">
        <v>14.32</v>
      </c>
      <c r="I54" s="14" t="str">
        <f>VLOOKUP(A54,bnc_Map!A:C,3,FALSE)</f>
        <v>[BnC-2F01] BnC Acc Depn - Furniture &amp; Fitting</v>
      </c>
      <c r="J54" s="19">
        <f t="shared" si="0"/>
        <v>-47590.5</v>
      </c>
    </row>
    <row r="55" spans="1:10" x14ac:dyDescent="0.45">
      <c r="A55" s="163" t="s">
        <v>117</v>
      </c>
      <c r="B55" s="163" t="s">
        <v>118</v>
      </c>
      <c r="C55" s="163" t="s">
        <v>0</v>
      </c>
      <c r="D55" s="164">
        <v>2554</v>
      </c>
      <c r="E55" s="164"/>
      <c r="F55" s="164"/>
      <c r="G55" s="164"/>
      <c r="I55" s="14" t="str">
        <f>VLOOKUP(A55,bnc_Map!A:C,3,FALSE)</f>
        <v>[BnC-2F01] BnC Furniture &amp; Fitting</v>
      </c>
      <c r="J55" s="19">
        <f t="shared" si="0"/>
        <v>2554</v>
      </c>
    </row>
    <row r="56" spans="1:10" x14ac:dyDescent="0.45">
      <c r="A56" s="163" t="s">
        <v>119</v>
      </c>
      <c r="B56" s="163" t="s">
        <v>120</v>
      </c>
      <c r="C56" s="163" t="s">
        <v>0</v>
      </c>
      <c r="D56" s="164"/>
      <c r="E56" s="164">
        <v>2483.0700000000002</v>
      </c>
      <c r="F56" s="164"/>
      <c r="G56" s="164"/>
      <c r="I56" s="14" t="str">
        <f>VLOOKUP(A56,bnc_Map!A:C,3,FALSE)</f>
        <v>[BnC-2F01] BnC Acc Depn - Furniture &amp; Fitting</v>
      </c>
      <c r="J56" s="19">
        <f t="shared" si="0"/>
        <v>-2483.0700000000002</v>
      </c>
    </row>
    <row r="57" spans="1:10" x14ac:dyDescent="0.45">
      <c r="A57" s="163" t="s">
        <v>121</v>
      </c>
      <c r="B57" s="163" t="s">
        <v>122</v>
      </c>
      <c r="C57" s="163" t="s">
        <v>0</v>
      </c>
      <c r="D57" s="164">
        <v>48692.14</v>
      </c>
      <c r="E57" s="164"/>
      <c r="F57" s="164"/>
      <c r="G57" s="164"/>
      <c r="I57" s="14" t="str">
        <f>VLOOKUP(A57,bnc_Map!A:C,3,FALSE)</f>
        <v>[BnC-2F01] BnC Furniture &amp; Fitting</v>
      </c>
      <c r="J57" s="19">
        <f t="shared" si="0"/>
        <v>48692.14</v>
      </c>
    </row>
    <row r="58" spans="1:10" x14ac:dyDescent="0.45">
      <c r="A58" s="163" t="s">
        <v>123</v>
      </c>
      <c r="B58" s="163" t="s">
        <v>124</v>
      </c>
      <c r="C58" s="163" t="s">
        <v>0</v>
      </c>
      <c r="D58" s="164"/>
      <c r="E58" s="164">
        <v>41553.730000000003</v>
      </c>
      <c r="F58" s="164"/>
      <c r="G58" s="164">
        <v>256.08999999999997</v>
      </c>
      <c r="I58" s="14" t="str">
        <f>VLOOKUP(A58,bnc_Map!A:C,3,FALSE)</f>
        <v>[BnC-2F01] BnC Acc Depn - Furniture &amp; Fitting</v>
      </c>
      <c r="J58" s="19">
        <f t="shared" si="0"/>
        <v>-41553.730000000003</v>
      </c>
    </row>
    <row r="59" spans="1:10" x14ac:dyDescent="0.45">
      <c r="A59" s="163" t="s">
        <v>125</v>
      </c>
      <c r="B59" s="163" t="s">
        <v>126</v>
      </c>
      <c r="C59" s="163" t="s">
        <v>0</v>
      </c>
      <c r="D59" s="164">
        <v>38798.959999999999</v>
      </c>
      <c r="E59" s="164"/>
      <c r="F59" s="164"/>
      <c r="G59" s="164"/>
      <c r="I59" s="14" t="str">
        <f>VLOOKUP(A59,bnc_Map!A:C,3,FALSE)</f>
        <v>[BnC-2F01] BnC Furniture &amp; Fitting</v>
      </c>
      <c r="J59" s="19">
        <f t="shared" si="0"/>
        <v>38798.959999999999</v>
      </c>
    </row>
    <row r="60" spans="1:10" x14ac:dyDescent="0.45">
      <c r="A60" s="163" t="s">
        <v>127</v>
      </c>
      <c r="B60" s="163" t="s">
        <v>128</v>
      </c>
      <c r="C60" s="163" t="s">
        <v>0</v>
      </c>
      <c r="D60" s="164"/>
      <c r="E60" s="164">
        <v>34285.879999999997</v>
      </c>
      <c r="F60" s="164"/>
      <c r="G60" s="164">
        <v>255.94</v>
      </c>
      <c r="I60" s="14" t="str">
        <f>VLOOKUP(A60,bnc_Map!A:C,3,FALSE)</f>
        <v>[BnC-2F01] BnC Acc Depn - Furniture &amp; Fitting</v>
      </c>
      <c r="J60" s="19">
        <f t="shared" si="0"/>
        <v>-34285.879999999997</v>
      </c>
    </row>
    <row r="61" spans="1:10" x14ac:dyDescent="0.45">
      <c r="A61" s="163" t="s">
        <v>129</v>
      </c>
      <c r="B61" s="163" t="s">
        <v>130</v>
      </c>
      <c r="C61" s="163" t="s">
        <v>0</v>
      </c>
      <c r="D61" s="164">
        <v>32423.48</v>
      </c>
      <c r="E61" s="164"/>
      <c r="F61" s="164"/>
      <c r="G61" s="164"/>
      <c r="I61" s="14" t="str">
        <f>VLOOKUP(A61,bnc_Map!A:C,3,FALSE)</f>
        <v>[BnC-2F01] BnC Furniture &amp; Fitting</v>
      </c>
      <c r="J61" s="19">
        <f t="shared" si="0"/>
        <v>32423.48</v>
      </c>
    </row>
    <row r="62" spans="1:10" x14ac:dyDescent="0.45">
      <c r="A62" s="163" t="s">
        <v>131</v>
      </c>
      <c r="B62" s="163" t="s">
        <v>132</v>
      </c>
      <c r="C62" s="163" t="s">
        <v>0</v>
      </c>
      <c r="D62" s="164"/>
      <c r="E62" s="164">
        <v>32361.48</v>
      </c>
      <c r="F62" s="164"/>
      <c r="G62" s="164">
        <v>902.68</v>
      </c>
      <c r="I62" s="14" t="str">
        <f>VLOOKUP(A62,bnc_Map!A:C,3,FALSE)</f>
        <v>[BnC-2F01] BnC Acc Depn - Furniture &amp; Fitting</v>
      </c>
      <c r="J62" s="19">
        <f t="shared" si="0"/>
        <v>-32361.48</v>
      </c>
    </row>
    <row r="63" spans="1:10" x14ac:dyDescent="0.45">
      <c r="A63" s="163" t="s">
        <v>133</v>
      </c>
      <c r="B63" s="163" t="s">
        <v>134</v>
      </c>
      <c r="C63" s="163" t="s">
        <v>0</v>
      </c>
      <c r="D63" s="164">
        <v>30097.94</v>
      </c>
      <c r="E63" s="164"/>
      <c r="F63" s="164">
        <v>3600</v>
      </c>
      <c r="G63" s="164"/>
      <c r="I63" s="14" t="str">
        <f>VLOOKUP(A63,bnc_Map!A:C,3,FALSE)</f>
        <v>[BnC-2F01] BnC Furniture &amp; Fitting</v>
      </c>
      <c r="J63" s="19">
        <f t="shared" si="0"/>
        <v>30097.94</v>
      </c>
    </row>
    <row r="64" spans="1:10" x14ac:dyDescent="0.45">
      <c r="A64" s="163" t="s">
        <v>135</v>
      </c>
      <c r="B64" s="163" t="s">
        <v>136</v>
      </c>
      <c r="C64" s="163" t="s">
        <v>0</v>
      </c>
      <c r="D64" s="164"/>
      <c r="E64" s="164">
        <v>23841.15</v>
      </c>
      <c r="F64" s="164"/>
      <c r="G64" s="164">
        <v>836.11</v>
      </c>
      <c r="I64" s="14" t="str">
        <f>VLOOKUP(A64,bnc_Map!A:C,3,FALSE)</f>
        <v>[BnC-2F01] BnC Acc Depn - Furniture &amp; Fitting</v>
      </c>
      <c r="J64" s="19">
        <f t="shared" si="0"/>
        <v>-23841.15</v>
      </c>
    </row>
    <row r="65" spans="1:10" x14ac:dyDescent="0.45">
      <c r="A65" s="163" t="s">
        <v>137</v>
      </c>
      <c r="B65" s="163" t="s">
        <v>138</v>
      </c>
      <c r="C65" s="163" t="s">
        <v>0</v>
      </c>
      <c r="D65" s="164">
        <v>121211.7</v>
      </c>
      <c r="E65" s="164"/>
      <c r="F65" s="164"/>
      <c r="G65" s="164"/>
      <c r="I65" s="14" t="str">
        <f>VLOOKUP(A65,bnc_Map!A:C,3,FALSE)</f>
        <v>[BnC-2F01] BnC Furniture &amp; Fitting</v>
      </c>
      <c r="J65" s="19">
        <f t="shared" si="0"/>
        <v>121211.7</v>
      </c>
    </row>
    <row r="66" spans="1:10" x14ac:dyDescent="0.45">
      <c r="A66" s="163" t="s">
        <v>139</v>
      </c>
      <c r="B66" s="163" t="s">
        <v>140</v>
      </c>
      <c r="C66" s="163" t="s">
        <v>0</v>
      </c>
      <c r="D66" s="164"/>
      <c r="E66" s="164">
        <v>83849.710000000006</v>
      </c>
      <c r="F66" s="164"/>
      <c r="G66" s="164">
        <v>3370.13</v>
      </c>
      <c r="I66" s="14" t="str">
        <f>VLOOKUP(A66,bnc_Map!A:C,3,FALSE)</f>
        <v>[BnC-2F01] BnC Acc Depn - Furniture &amp; Fitting</v>
      </c>
      <c r="J66" s="19">
        <f t="shared" si="0"/>
        <v>-83849.710000000006</v>
      </c>
    </row>
    <row r="67" spans="1:10" x14ac:dyDescent="0.45">
      <c r="A67" s="163" t="s">
        <v>141</v>
      </c>
      <c r="B67" s="163" t="s">
        <v>142</v>
      </c>
      <c r="C67" s="163" t="s">
        <v>0</v>
      </c>
      <c r="D67" s="164">
        <v>13252</v>
      </c>
      <c r="E67" s="164"/>
      <c r="F67" s="164"/>
      <c r="G67" s="164"/>
      <c r="I67" s="14" t="str">
        <f>VLOOKUP(A67,bnc_Map!A:C,3,FALSE)</f>
        <v>[BnC-2F01] BnC Furniture &amp; Fitting</v>
      </c>
      <c r="J67" s="19">
        <f t="shared" si="0"/>
        <v>13252</v>
      </c>
    </row>
    <row r="68" spans="1:10" x14ac:dyDescent="0.45">
      <c r="A68" s="163" t="s">
        <v>143</v>
      </c>
      <c r="B68" s="163" t="s">
        <v>144</v>
      </c>
      <c r="C68" s="163" t="s">
        <v>0</v>
      </c>
      <c r="D68" s="164"/>
      <c r="E68" s="164">
        <v>3767.37</v>
      </c>
      <c r="F68" s="164"/>
      <c r="G68" s="164">
        <v>368.12</v>
      </c>
      <c r="I68" s="14" t="str">
        <f>VLOOKUP(A68,bnc_Map!A:C,3,FALSE)</f>
        <v>[BnC-2F01] BnC Acc Depn - Furniture &amp; Fitting</v>
      </c>
      <c r="J68" s="19">
        <f t="shared" si="0"/>
        <v>-3767.37</v>
      </c>
    </row>
    <row r="69" spans="1:10" x14ac:dyDescent="0.45">
      <c r="A69" s="163" t="s">
        <v>149</v>
      </c>
      <c r="B69" s="163" t="s">
        <v>150</v>
      </c>
      <c r="C69" s="163" t="s">
        <v>0</v>
      </c>
      <c r="D69" s="164">
        <v>71398.83</v>
      </c>
      <c r="E69" s="164"/>
      <c r="F69" s="164"/>
      <c r="G69" s="164"/>
      <c r="I69" s="14" t="str">
        <f>VLOOKUP(A69,bnc_Map!A:C,3,FALSE)</f>
        <v>[BnC-2I01] BnC Long Term Investment</v>
      </c>
      <c r="J69" s="19">
        <f t="shared" si="0"/>
        <v>71398.83</v>
      </c>
    </row>
    <row r="70" spans="1:10" x14ac:dyDescent="0.45">
      <c r="A70" s="163" t="s">
        <v>151</v>
      </c>
      <c r="B70" s="163" t="s">
        <v>152</v>
      </c>
      <c r="C70" s="163" t="s">
        <v>0</v>
      </c>
      <c r="D70" s="164">
        <v>49927.01</v>
      </c>
      <c r="E70" s="164"/>
      <c r="F70" s="164"/>
      <c r="G70" s="164"/>
      <c r="I70" s="14" t="str">
        <f>VLOOKUP(A70,bnc_Map!A:C,3,FALSE)</f>
        <v>[BnC-2K01] BnC Kitchen Equipment</v>
      </c>
      <c r="J70" s="19">
        <f t="shared" ref="J70:J133" si="1">D70-E70</f>
        <v>49927.01</v>
      </c>
    </row>
    <row r="71" spans="1:10" x14ac:dyDescent="0.45">
      <c r="A71" s="163" t="s">
        <v>153</v>
      </c>
      <c r="B71" s="163" t="s">
        <v>154</v>
      </c>
      <c r="C71" s="163" t="s">
        <v>0</v>
      </c>
      <c r="D71" s="164">
        <v>1545</v>
      </c>
      <c r="E71" s="164"/>
      <c r="F71" s="164"/>
      <c r="G71" s="164"/>
      <c r="I71" s="14" t="str">
        <f>VLOOKUP(A71,bnc_Map!A:C,3,FALSE)</f>
        <v>[BnC-2K01] BnC Kitchen Equipment</v>
      </c>
      <c r="J71" s="19">
        <f t="shared" si="1"/>
        <v>1545</v>
      </c>
    </row>
    <row r="72" spans="1:10" x14ac:dyDescent="0.45">
      <c r="A72" s="163" t="s">
        <v>155</v>
      </c>
      <c r="B72" s="163" t="s">
        <v>156</v>
      </c>
      <c r="C72" s="163" t="s">
        <v>0</v>
      </c>
      <c r="D72" s="164">
        <v>6130</v>
      </c>
      <c r="E72" s="164"/>
      <c r="F72" s="164"/>
      <c r="G72" s="164"/>
      <c r="I72" s="14" t="str">
        <f>VLOOKUP(A72,bnc_Map!A:C,3,FALSE)</f>
        <v>[BnC-2K01] BnC Kitchen Equipment</v>
      </c>
      <c r="J72" s="19">
        <f t="shared" si="1"/>
        <v>6130</v>
      </c>
    </row>
    <row r="73" spans="1:10" x14ac:dyDescent="0.45">
      <c r="A73" s="163" t="s">
        <v>1566</v>
      </c>
      <c r="B73" s="163" t="s">
        <v>1567</v>
      </c>
      <c r="C73" s="163" t="s">
        <v>0</v>
      </c>
      <c r="D73" s="164">
        <v>2200</v>
      </c>
      <c r="E73" s="164"/>
      <c r="F73" s="164"/>
      <c r="G73" s="164"/>
      <c r="I73" s="14" t="str">
        <f>VLOOKUP(A73,bnc_Map!A:C,3,FALSE)</f>
        <v>[BnC-2K01] BnC Kitchen Equipment</v>
      </c>
      <c r="J73" s="19">
        <f t="shared" si="1"/>
        <v>2200</v>
      </c>
    </row>
    <row r="74" spans="1:10" x14ac:dyDescent="0.45">
      <c r="A74" s="163" t="s">
        <v>157</v>
      </c>
      <c r="B74" s="163" t="s">
        <v>158</v>
      </c>
      <c r="C74" s="163" t="s">
        <v>0</v>
      </c>
      <c r="D74" s="164">
        <v>37099.629999999997</v>
      </c>
      <c r="E74" s="164"/>
      <c r="F74" s="164"/>
      <c r="G74" s="164"/>
      <c r="I74" s="14" t="str">
        <f>VLOOKUP(A74,bnc_Map!A:C,3,FALSE)</f>
        <v>[BnC-2O01] BnC Office Equipment</v>
      </c>
      <c r="J74" s="19">
        <f t="shared" si="1"/>
        <v>37099.629999999997</v>
      </c>
    </row>
    <row r="75" spans="1:10" x14ac:dyDescent="0.45">
      <c r="A75" s="163" t="s">
        <v>159</v>
      </c>
      <c r="B75" s="163" t="s">
        <v>160</v>
      </c>
      <c r="C75" s="163" t="s">
        <v>0</v>
      </c>
      <c r="D75" s="164"/>
      <c r="E75" s="164">
        <v>34819.03</v>
      </c>
      <c r="F75" s="164"/>
      <c r="G75" s="164">
        <v>93.39</v>
      </c>
      <c r="I75" s="14" t="str">
        <f>VLOOKUP(A75,bnc_Map!A:C,3,FALSE)</f>
        <v>[BnC-2O01] BnC Acc Depreciation - Office Equipment</v>
      </c>
      <c r="J75" s="19">
        <f t="shared" si="1"/>
        <v>-34819.03</v>
      </c>
    </row>
    <row r="76" spans="1:10" x14ac:dyDescent="0.45">
      <c r="A76" s="163" t="s">
        <v>161</v>
      </c>
      <c r="B76" s="163" t="s">
        <v>162</v>
      </c>
      <c r="C76" s="163" t="s">
        <v>0</v>
      </c>
      <c r="D76" s="164">
        <v>13015.4</v>
      </c>
      <c r="E76" s="164"/>
      <c r="F76" s="164"/>
      <c r="G76" s="164"/>
      <c r="I76" s="14" t="str">
        <f>VLOOKUP(A76,bnc_Map!A:C,3,FALSE)</f>
        <v>[BnC-2O01] BnC Office Equipment</v>
      </c>
      <c r="J76" s="19">
        <f t="shared" si="1"/>
        <v>13015.4</v>
      </c>
    </row>
    <row r="77" spans="1:10" x14ac:dyDescent="0.45">
      <c r="A77" s="163" t="s">
        <v>163</v>
      </c>
      <c r="B77" s="163" t="s">
        <v>164</v>
      </c>
      <c r="C77" s="163" t="s">
        <v>0</v>
      </c>
      <c r="D77" s="164"/>
      <c r="E77" s="164">
        <v>13015.4</v>
      </c>
      <c r="F77" s="164"/>
      <c r="G77" s="164"/>
      <c r="I77" s="14" t="str">
        <f>VLOOKUP(A77,bnc_Map!A:C,3,FALSE)</f>
        <v>[BnC-2O01] BnC Acc Depreciation - Office Equipment</v>
      </c>
      <c r="J77" s="19">
        <f t="shared" si="1"/>
        <v>-13015.4</v>
      </c>
    </row>
    <row r="78" spans="1:10" x14ac:dyDescent="0.45">
      <c r="A78" s="163" t="s">
        <v>165</v>
      </c>
      <c r="B78" s="163" t="s">
        <v>166</v>
      </c>
      <c r="C78" s="163" t="s">
        <v>0</v>
      </c>
      <c r="D78" s="164">
        <v>4149.8900000000003</v>
      </c>
      <c r="E78" s="164"/>
      <c r="F78" s="164"/>
      <c r="G78" s="164"/>
      <c r="I78" s="14" t="str">
        <f>VLOOKUP(A78,bnc_Map!A:C,3,FALSE)</f>
        <v>[BnC-2O01] BnC Office Equipment</v>
      </c>
      <c r="J78" s="19">
        <f t="shared" si="1"/>
        <v>4149.8900000000003</v>
      </c>
    </row>
    <row r="79" spans="1:10" x14ac:dyDescent="0.45">
      <c r="A79" s="163" t="s">
        <v>167</v>
      </c>
      <c r="B79" s="163" t="s">
        <v>168</v>
      </c>
      <c r="C79" s="163" t="s">
        <v>0</v>
      </c>
      <c r="D79" s="164"/>
      <c r="E79" s="164">
        <v>4149.8900000000003</v>
      </c>
      <c r="F79" s="164"/>
      <c r="G79" s="164"/>
      <c r="I79" s="14" t="str">
        <f>VLOOKUP(A79,bnc_Map!A:C,3,FALSE)</f>
        <v>[BnC-2O01] BnC Acc Depreciation - Office Equipment</v>
      </c>
      <c r="J79" s="19">
        <f t="shared" si="1"/>
        <v>-4149.8900000000003</v>
      </c>
    </row>
    <row r="80" spans="1:10" x14ac:dyDescent="0.45">
      <c r="A80" s="163" t="s">
        <v>169</v>
      </c>
      <c r="B80" s="163" t="s">
        <v>170</v>
      </c>
      <c r="C80" s="163" t="s">
        <v>0</v>
      </c>
      <c r="D80" s="164">
        <v>21821.81</v>
      </c>
      <c r="E80" s="164"/>
      <c r="F80" s="164"/>
      <c r="G80" s="164"/>
      <c r="I80" s="14" t="str">
        <f>VLOOKUP(A80,bnc_Map!A:C,3,FALSE)</f>
        <v>[BnC-2O01] BnC Office Equipment</v>
      </c>
      <c r="J80" s="19">
        <f t="shared" si="1"/>
        <v>21821.81</v>
      </c>
    </row>
    <row r="81" spans="1:10" x14ac:dyDescent="0.45">
      <c r="A81" s="163" t="s">
        <v>171</v>
      </c>
      <c r="B81" s="163" t="s">
        <v>172</v>
      </c>
      <c r="C81" s="163" t="s">
        <v>0</v>
      </c>
      <c r="D81" s="164"/>
      <c r="E81" s="164">
        <v>21681.81</v>
      </c>
      <c r="F81" s="164"/>
      <c r="G81" s="164">
        <v>20</v>
      </c>
      <c r="I81" s="14" t="str">
        <f>VLOOKUP(A81,bnc_Map!A:C,3,FALSE)</f>
        <v>[BnC-2O01] BnC Acc Depreciation - Office Equipment</v>
      </c>
      <c r="J81" s="19">
        <f t="shared" si="1"/>
        <v>-21681.81</v>
      </c>
    </row>
    <row r="82" spans="1:10" x14ac:dyDescent="0.45">
      <c r="A82" s="163" t="s">
        <v>173</v>
      </c>
      <c r="B82" s="163" t="s">
        <v>174</v>
      </c>
      <c r="C82" s="163" t="s">
        <v>0</v>
      </c>
      <c r="D82" s="164">
        <v>10892.17</v>
      </c>
      <c r="E82" s="164"/>
      <c r="F82" s="164"/>
      <c r="G82" s="164"/>
      <c r="I82" s="14" t="str">
        <f>VLOOKUP(A82,bnc_Map!A:C,3,FALSE)</f>
        <v>[BnC-2O01] BnC Office Equipment</v>
      </c>
      <c r="J82" s="19">
        <f t="shared" si="1"/>
        <v>10892.17</v>
      </c>
    </row>
    <row r="83" spans="1:10" x14ac:dyDescent="0.45">
      <c r="A83" s="163" t="s">
        <v>175</v>
      </c>
      <c r="B83" s="163" t="s">
        <v>176</v>
      </c>
      <c r="C83" s="163" t="s">
        <v>0</v>
      </c>
      <c r="D83" s="164"/>
      <c r="E83" s="164">
        <v>10892.17</v>
      </c>
      <c r="F83" s="164"/>
      <c r="G83" s="164"/>
      <c r="I83" s="14" t="str">
        <f>VLOOKUP(A83,bnc_Map!A:C,3,FALSE)</f>
        <v>[BnC-2O01] BnC Acc Depreciation - Office Equipment</v>
      </c>
      <c r="J83" s="19">
        <f t="shared" si="1"/>
        <v>-10892.17</v>
      </c>
    </row>
    <row r="84" spans="1:10" x14ac:dyDescent="0.45">
      <c r="A84" s="163" t="s">
        <v>177</v>
      </c>
      <c r="B84" s="163" t="s">
        <v>178</v>
      </c>
      <c r="C84" s="163" t="s">
        <v>0</v>
      </c>
      <c r="D84" s="164">
        <v>13226.95</v>
      </c>
      <c r="E84" s="164"/>
      <c r="F84" s="164"/>
      <c r="G84" s="164"/>
      <c r="I84" s="14" t="str">
        <f>VLOOKUP(A84,bnc_Map!A:C,3,FALSE)</f>
        <v>[BnC-2O01] BnC Office Equipment</v>
      </c>
      <c r="J84" s="19">
        <f t="shared" si="1"/>
        <v>13226.95</v>
      </c>
    </row>
    <row r="85" spans="1:10" x14ac:dyDescent="0.45">
      <c r="A85" s="163" t="s">
        <v>179</v>
      </c>
      <c r="B85" s="163" t="s">
        <v>180</v>
      </c>
      <c r="C85" s="163" t="s">
        <v>0</v>
      </c>
      <c r="D85" s="164"/>
      <c r="E85" s="164">
        <v>12893.6</v>
      </c>
      <c r="F85" s="164"/>
      <c r="G85" s="164">
        <v>39.5</v>
      </c>
      <c r="I85" s="14" t="str">
        <f>VLOOKUP(A85,bnc_Map!A:C,3,FALSE)</f>
        <v>[BnC-2O01] BnC Acc Depreciation - Office Equipment</v>
      </c>
      <c r="J85" s="19">
        <f t="shared" si="1"/>
        <v>-12893.6</v>
      </c>
    </row>
    <row r="86" spans="1:10" x14ac:dyDescent="0.45">
      <c r="A86" s="163" t="s">
        <v>181</v>
      </c>
      <c r="B86" s="163" t="s">
        <v>182</v>
      </c>
      <c r="C86" s="163" t="s">
        <v>0</v>
      </c>
      <c r="D86" s="164">
        <v>5969.9</v>
      </c>
      <c r="E86" s="164"/>
      <c r="F86" s="164"/>
      <c r="G86" s="164"/>
      <c r="I86" s="14" t="str">
        <f>VLOOKUP(A86,bnc_Map!A:C,3,FALSE)</f>
        <v>[BnC-2O01] BnC Office Equipment</v>
      </c>
      <c r="J86" s="19">
        <f t="shared" si="1"/>
        <v>5969.9</v>
      </c>
    </row>
    <row r="87" spans="1:10" x14ac:dyDescent="0.45">
      <c r="A87" s="163" t="s">
        <v>183</v>
      </c>
      <c r="B87" s="163" t="s">
        <v>184</v>
      </c>
      <c r="C87" s="163" t="s">
        <v>0</v>
      </c>
      <c r="D87" s="164"/>
      <c r="E87" s="164">
        <v>5969.9</v>
      </c>
      <c r="F87" s="164"/>
      <c r="G87" s="164"/>
      <c r="I87" s="14" t="str">
        <f>VLOOKUP(A87,bnc_Map!A:C,3,FALSE)</f>
        <v>[BnC-2O01] BnC Acc Depreciation - Office Equipment</v>
      </c>
      <c r="J87" s="19">
        <f t="shared" si="1"/>
        <v>-5969.9</v>
      </c>
    </row>
    <row r="88" spans="1:10" x14ac:dyDescent="0.45">
      <c r="A88" s="163" t="s">
        <v>185</v>
      </c>
      <c r="B88" s="163" t="s">
        <v>186</v>
      </c>
      <c r="C88" s="163" t="s">
        <v>0</v>
      </c>
      <c r="D88" s="164">
        <v>19293.61</v>
      </c>
      <c r="E88" s="164"/>
      <c r="F88" s="164"/>
      <c r="G88" s="164"/>
      <c r="I88" s="14" t="str">
        <f>VLOOKUP(A88,bnc_Map!A:C,3,FALSE)</f>
        <v>[BnC-2O01] BnC Office Equipment</v>
      </c>
      <c r="J88" s="19">
        <f t="shared" si="1"/>
        <v>19293.61</v>
      </c>
    </row>
    <row r="89" spans="1:10" x14ac:dyDescent="0.45">
      <c r="A89" s="163" t="s">
        <v>187</v>
      </c>
      <c r="B89" s="163" t="s">
        <v>188</v>
      </c>
      <c r="C89" s="163" t="s">
        <v>0</v>
      </c>
      <c r="D89" s="164"/>
      <c r="E89" s="164">
        <v>19293.61</v>
      </c>
      <c r="F89" s="164"/>
      <c r="G89" s="164"/>
      <c r="I89" s="14" t="str">
        <f>VLOOKUP(A89,bnc_Map!A:C,3,FALSE)</f>
        <v>[BnC-2O01] BnC Acc Depreciation - Office Equipment</v>
      </c>
      <c r="J89" s="19">
        <f t="shared" si="1"/>
        <v>-19293.61</v>
      </c>
    </row>
    <row r="90" spans="1:10" x14ac:dyDescent="0.45">
      <c r="A90" s="165" t="s">
        <v>189</v>
      </c>
      <c r="B90" s="165" t="s">
        <v>190</v>
      </c>
      <c r="C90" s="165" t="s">
        <v>0</v>
      </c>
      <c r="D90" s="166">
        <v>15601.47</v>
      </c>
      <c r="E90" s="166"/>
      <c r="F90" s="166"/>
      <c r="G90" s="166"/>
      <c r="I90" s="14" t="str">
        <f>VLOOKUP(A90,bnc_Map!A:C,3,FALSE)</f>
        <v>[BnC-2O01] BnC Office Equipment</v>
      </c>
      <c r="J90" s="19">
        <f t="shared" si="1"/>
        <v>15601.47</v>
      </c>
    </row>
    <row r="91" spans="1:10" x14ac:dyDescent="0.45">
      <c r="A91" s="165" t="s">
        <v>191</v>
      </c>
      <c r="B91" s="165" t="s">
        <v>192</v>
      </c>
      <c r="C91" s="165" t="s">
        <v>0</v>
      </c>
      <c r="D91" s="166"/>
      <c r="E91" s="166">
        <v>15601.47</v>
      </c>
      <c r="F91" s="166"/>
      <c r="G91" s="166"/>
      <c r="I91" s="14" t="str">
        <f>VLOOKUP(A91,bnc_Map!A:C,3,FALSE)</f>
        <v>[BnC-2O01] BnC Acc Depreciation - Office Equipment</v>
      </c>
      <c r="J91" s="19">
        <f t="shared" si="1"/>
        <v>-15601.47</v>
      </c>
    </row>
    <row r="92" spans="1:10" x14ac:dyDescent="0.45">
      <c r="A92" s="165" t="s">
        <v>193</v>
      </c>
      <c r="B92" s="165" t="s">
        <v>194</v>
      </c>
      <c r="C92" s="165" t="s">
        <v>0</v>
      </c>
      <c r="D92" s="166">
        <v>15101.84</v>
      </c>
      <c r="E92" s="166"/>
      <c r="F92" s="166"/>
      <c r="G92" s="166"/>
      <c r="I92" s="14" t="str">
        <f>VLOOKUP(A92,bnc_Map!A:C,3,FALSE)</f>
        <v>[BnC-2O01] BnC Office Equipment</v>
      </c>
      <c r="J92" s="19">
        <f t="shared" si="1"/>
        <v>15101.84</v>
      </c>
    </row>
    <row r="93" spans="1:10" x14ac:dyDescent="0.45">
      <c r="A93" s="165" t="s">
        <v>195</v>
      </c>
      <c r="B93" s="165" t="s">
        <v>196</v>
      </c>
      <c r="C93" s="165" t="s">
        <v>0</v>
      </c>
      <c r="D93" s="166"/>
      <c r="E93" s="166">
        <v>15101.84</v>
      </c>
      <c r="F93" s="166"/>
      <c r="G93" s="166"/>
      <c r="I93" s="14" t="str">
        <f>VLOOKUP(A93,bnc_Map!A:C,3,FALSE)</f>
        <v>[BnC-2O01] BnC Acc Depreciation - Office Equipment</v>
      </c>
      <c r="J93" s="19">
        <f t="shared" si="1"/>
        <v>-15101.84</v>
      </c>
    </row>
    <row r="94" spans="1:10" x14ac:dyDescent="0.45">
      <c r="A94" s="165" t="s">
        <v>197</v>
      </c>
      <c r="B94" s="165" t="s">
        <v>198</v>
      </c>
      <c r="C94" s="165" t="s">
        <v>0</v>
      </c>
      <c r="D94" s="166">
        <v>16325.91</v>
      </c>
      <c r="E94" s="166"/>
      <c r="F94" s="166"/>
      <c r="G94" s="166"/>
      <c r="I94" s="14" t="str">
        <f>VLOOKUP(A94,bnc_Map!A:C,3,FALSE)</f>
        <v>[BnC-2O01] BnC Office Equipment</v>
      </c>
      <c r="J94" s="19">
        <f t="shared" si="1"/>
        <v>16325.91</v>
      </c>
    </row>
    <row r="95" spans="1:10" x14ac:dyDescent="0.45">
      <c r="A95" s="165" t="s">
        <v>199</v>
      </c>
      <c r="B95" s="165" t="s">
        <v>200</v>
      </c>
      <c r="C95" s="165" t="s">
        <v>0</v>
      </c>
      <c r="D95" s="166"/>
      <c r="E95" s="166">
        <v>16325.91</v>
      </c>
      <c r="F95" s="166"/>
      <c r="G95" s="166"/>
      <c r="I95" s="14" t="str">
        <f>VLOOKUP(A95,bnc_Map!A:C,3,FALSE)</f>
        <v>[BnC-2O01] BnC Acc Depreciation - Office Equipment</v>
      </c>
      <c r="J95" s="19">
        <f t="shared" si="1"/>
        <v>-16325.91</v>
      </c>
    </row>
    <row r="96" spans="1:10" x14ac:dyDescent="0.45">
      <c r="A96" s="165" t="s">
        <v>201</v>
      </c>
      <c r="B96" s="165" t="s">
        <v>202</v>
      </c>
      <c r="C96" s="165" t="s">
        <v>0</v>
      </c>
      <c r="D96" s="166">
        <v>26070.13</v>
      </c>
      <c r="E96" s="166"/>
      <c r="F96" s="166"/>
      <c r="G96" s="166"/>
      <c r="I96" s="14" t="str">
        <f>VLOOKUP(A96,bnc_Map!A:C,3,FALSE)</f>
        <v>[BnC-2O01] BnC Office Equipment</v>
      </c>
      <c r="J96" s="19">
        <f t="shared" si="1"/>
        <v>26070.13</v>
      </c>
    </row>
    <row r="97" spans="1:10" x14ac:dyDescent="0.45">
      <c r="A97" s="165" t="s">
        <v>203</v>
      </c>
      <c r="B97" s="165" t="s">
        <v>204</v>
      </c>
      <c r="C97" s="165" t="s">
        <v>0</v>
      </c>
      <c r="D97" s="166"/>
      <c r="E97" s="166">
        <v>26070.13</v>
      </c>
      <c r="F97" s="166"/>
      <c r="G97" s="166"/>
      <c r="I97" s="14" t="str">
        <f>VLOOKUP(A97,bnc_Map!A:C,3,FALSE)</f>
        <v>[BnC-2O01] BnC Acc Depreciation - Office Equipment</v>
      </c>
      <c r="J97" s="19">
        <f t="shared" si="1"/>
        <v>-26070.13</v>
      </c>
    </row>
    <row r="98" spans="1:10" x14ac:dyDescent="0.45">
      <c r="A98" s="165" t="s">
        <v>205</v>
      </c>
      <c r="B98" s="165" t="s">
        <v>206</v>
      </c>
      <c r="C98" s="165" t="s">
        <v>0</v>
      </c>
      <c r="D98" s="166">
        <v>621476</v>
      </c>
      <c r="E98" s="166"/>
      <c r="F98" s="166"/>
      <c r="G98" s="166"/>
      <c r="I98" s="14" t="str">
        <f>VLOOKUP(A98,bnc_Map!A:C,3,FALSE)</f>
        <v>[BnC-2R01] BnC Renovation</v>
      </c>
      <c r="J98" s="19">
        <f t="shared" si="1"/>
        <v>621476</v>
      </c>
    </row>
    <row r="99" spans="1:10" x14ac:dyDescent="0.45">
      <c r="A99" s="165" t="s">
        <v>207</v>
      </c>
      <c r="B99" s="165" t="s">
        <v>208</v>
      </c>
      <c r="C99" s="165" t="s">
        <v>0</v>
      </c>
      <c r="D99" s="166"/>
      <c r="E99" s="166">
        <v>85516.76</v>
      </c>
      <c r="F99" s="166"/>
      <c r="G99" s="166">
        <v>17263.22</v>
      </c>
      <c r="I99" s="14" t="str">
        <f>VLOOKUP(A99,bnc_Map!A:C,3,FALSE)</f>
        <v>[BnC-2R01] BnC Acc Depn-Renovation</v>
      </c>
      <c r="J99" s="19">
        <f t="shared" si="1"/>
        <v>-85516.76</v>
      </c>
    </row>
    <row r="100" spans="1:10" x14ac:dyDescent="0.45">
      <c r="A100" s="165" t="s">
        <v>209</v>
      </c>
      <c r="B100" s="165" t="s">
        <v>210</v>
      </c>
      <c r="C100" s="165" t="s">
        <v>0</v>
      </c>
      <c r="D100" s="166">
        <v>431148.93</v>
      </c>
      <c r="E100" s="166"/>
      <c r="F100" s="166"/>
      <c r="G100" s="166"/>
      <c r="I100" s="14" t="str">
        <f>VLOOKUP(A100,bnc_Map!A:C,3,FALSE)</f>
        <v>[BnC-2R01] BnC Renovation</v>
      </c>
      <c r="J100" s="19">
        <f t="shared" si="1"/>
        <v>431148.93</v>
      </c>
    </row>
    <row r="101" spans="1:10" x14ac:dyDescent="0.45">
      <c r="A101" s="165" t="s">
        <v>211</v>
      </c>
      <c r="B101" s="165" t="s">
        <v>212</v>
      </c>
      <c r="C101" s="165" t="s">
        <v>0</v>
      </c>
      <c r="D101" s="166"/>
      <c r="E101" s="166">
        <v>425820.81</v>
      </c>
      <c r="F101" s="166"/>
      <c r="G101" s="166">
        <v>257.08</v>
      </c>
      <c r="I101" s="14" t="str">
        <f>VLOOKUP(A101,bnc_Map!A:C,3,FALSE)</f>
        <v>[BnC-2R01] BnC Acc Depn-Renovation</v>
      </c>
      <c r="J101" s="19">
        <f t="shared" si="1"/>
        <v>-425820.81</v>
      </c>
    </row>
    <row r="102" spans="1:10" x14ac:dyDescent="0.45">
      <c r="A102" s="165" t="s">
        <v>213</v>
      </c>
      <c r="B102" s="165" t="s">
        <v>214</v>
      </c>
      <c r="C102" s="165" t="s">
        <v>0</v>
      </c>
      <c r="D102" s="166">
        <v>154958.26999999999</v>
      </c>
      <c r="E102" s="166"/>
      <c r="F102" s="166"/>
      <c r="G102" s="166"/>
      <c r="I102" s="14" t="str">
        <f>VLOOKUP(A102,bnc_Map!A:C,3,FALSE)</f>
        <v>[BnC-2R01] BnC Renovation</v>
      </c>
      <c r="J102" s="19">
        <f t="shared" si="1"/>
        <v>154958.26999999999</v>
      </c>
    </row>
    <row r="103" spans="1:10" x14ac:dyDescent="0.45">
      <c r="A103" s="165" t="s">
        <v>215</v>
      </c>
      <c r="B103" s="165" t="s">
        <v>216</v>
      </c>
      <c r="C103" s="165" t="s">
        <v>0</v>
      </c>
      <c r="D103" s="166"/>
      <c r="E103" s="166">
        <v>154958.26999999999</v>
      </c>
      <c r="F103" s="166"/>
      <c r="G103" s="166"/>
      <c r="I103" s="14" t="str">
        <f>VLOOKUP(A103,bnc_Map!A:C,3,FALSE)</f>
        <v>[BnC-2R01] BnC Acc Depn-Renovation</v>
      </c>
      <c r="J103" s="19">
        <f t="shared" si="1"/>
        <v>-154958.26999999999</v>
      </c>
    </row>
    <row r="104" spans="1:10" x14ac:dyDescent="0.45">
      <c r="A104" s="165" t="s">
        <v>217</v>
      </c>
      <c r="B104" s="165" t="s">
        <v>218</v>
      </c>
      <c r="C104" s="165" t="s">
        <v>0</v>
      </c>
      <c r="D104" s="166">
        <v>126930.03</v>
      </c>
      <c r="E104" s="166"/>
      <c r="F104" s="166"/>
      <c r="G104" s="166"/>
      <c r="I104" s="14" t="str">
        <f>VLOOKUP(A104,bnc_Map!A:C,3,FALSE)</f>
        <v>[BnC-2R01] BnC Renovation</v>
      </c>
      <c r="J104" s="19">
        <f t="shared" si="1"/>
        <v>126930.03</v>
      </c>
    </row>
    <row r="105" spans="1:10" x14ac:dyDescent="0.45">
      <c r="A105" s="165" t="s">
        <v>219</v>
      </c>
      <c r="B105" s="165" t="s">
        <v>220</v>
      </c>
      <c r="C105" s="165" t="s">
        <v>0</v>
      </c>
      <c r="D105" s="166"/>
      <c r="E105" s="166">
        <v>126930.03</v>
      </c>
      <c r="F105" s="166"/>
      <c r="G105" s="166"/>
      <c r="I105" s="14" t="str">
        <f>VLOOKUP(A105,bnc_Map!A:C,3,FALSE)</f>
        <v>[BnC-2R01] BnC Acc Depn-Renovation</v>
      </c>
      <c r="J105" s="19">
        <f t="shared" si="1"/>
        <v>-126930.03</v>
      </c>
    </row>
    <row r="106" spans="1:10" x14ac:dyDescent="0.45">
      <c r="A106" s="165" t="s">
        <v>221</v>
      </c>
      <c r="B106" s="165" t="s">
        <v>222</v>
      </c>
      <c r="C106" s="165" t="s">
        <v>0</v>
      </c>
      <c r="D106" s="166">
        <v>243482.43</v>
      </c>
      <c r="E106" s="166"/>
      <c r="F106" s="166"/>
      <c r="G106" s="166"/>
      <c r="I106" s="14" t="str">
        <f>VLOOKUP(A106,bnc_Map!A:C,3,FALSE)</f>
        <v>[BnC-2R01] BnC Renovation</v>
      </c>
      <c r="J106" s="19">
        <f t="shared" si="1"/>
        <v>243482.43</v>
      </c>
    </row>
    <row r="107" spans="1:10" x14ac:dyDescent="0.45">
      <c r="A107" s="165" t="s">
        <v>223</v>
      </c>
      <c r="B107" s="165" t="s">
        <v>224</v>
      </c>
      <c r="C107" s="165" t="s">
        <v>0</v>
      </c>
      <c r="D107" s="166"/>
      <c r="E107" s="166">
        <v>243482.43</v>
      </c>
      <c r="F107" s="166"/>
      <c r="G107" s="166"/>
      <c r="I107" s="14" t="str">
        <f>VLOOKUP(A107,bnc_Map!A:C,3,FALSE)</f>
        <v>[BnC-2R01] BnC Acc Depn-Renovation</v>
      </c>
      <c r="J107" s="19">
        <f t="shared" si="1"/>
        <v>-243482.43</v>
      </c>
    </row>
    <row r="108" spans="1:10" x14ac:dyDescent="0.45">
      <c r="A108" s="165" t="s">
        <v>225</v>
      </c>
      <c r="B108" s="165" t="s">
        <v>226</v>
      </c>
      <c r="C108" s="165" t="s">
        <v>0</v>
      </c>
      <c r="D108" s="166">
        <v>123321.25</v>
      </c>
      <c r="E108" s="166"/>
      <c r="F108" s="166"/>
      <c r="G108" s="166"/>
      <c r="I108" s="14" t="str">
        <f>VLOOKUP(A108,bnc_Map!A:C,3,FALSE)</f>
        <v>[BnC-2R01] BnC Renovation</v>
      </c>
      <c r="J108" s="19">
        <f t="shared" si="1"/>
        <v>123321.25</v>
      </c>
    </row>
    <row r="109" spans="1:10" x14ac:dyDescent="0.45">
      <c r="A109" s="165" t="s">
        <v>227</v>
      </c>
      <c r="B109" s="165" t="s">
        <v>228</v>
      </c>
      <c r="C109" s="165" t="s">
        <v>0</v>
      </c>
      <c r="D109" s="166"/>
      <c r="E109" s="166">
        <v>125035.2</v>
      </c>
      <c r="F109" s="166"/>
      <c r="G109" s="166"/>
      <c r="I109" s="14" t="str">
        <f>VLOOKUP(A109,bnc_Map!A:C,3,FALSE)</f>
        <v>[BnC-2R01] BnC Acc Depn-Renovation</v>
      </c>
      <c r="J109" s="19">
        <f t="shared" si="1"/>
        <v>-125035.2</v>
      </c>
    </row>
    <row r="110" spans="1:10" x14ac:dyDescent="0.45">
      <c r="A110" s="165" t="s">
        <v>229</v>
      </c>
      <c r="B110" s="165" t="s">
        <v>230</v>
      </c>
      <c r="C110" s="165" t="s">
        <v>0</v>
      </c>
      <c r="D110" s="166">
        <v>211450.5</v>
      </c>
      <c r="E110" s="166"/>
      <c r="F110" s="166"/>
      <c r="G110" s="166"/>
      <c r="I110" s="14" t="str">
        <f>VLOOKUP(A110,bnc_Map!A:C,3,FALSE)</f>
        <v>[BnC-2R01] BnC Renovation</v>
      </c>
      <c r="J110" s="19">
        <f t="shared" si="1"/>
        <v>211450.5</v>
      </c>
    </row>
    <row r="111" spans="1:10" x14ac:dyDescent="0.45">
      <c r="A111" s="165" t="s">
        <v>231</v>
      </c>
      <c r="B111" s="165" t="s">
        <v>232</v>
      </c>
      <c r="C111" s="165" t="s">
        <v>0</v>
      </c>
      <c r="D111" s="166"/>
      <c r="E111" s="166">
        <v>211450.5</v>
      </c>
      <c r="F111" s="166"/>
      <c r="G111" s="166"/>
      <c r="I111" s="14" t="str">
        <f>VLOOKUP(A111,bnc_Map!A:C,3,FALSE)</f>
        <v>[BnC-2R01] BnC Acc Depn-Renovation</v>
      </c>
      <c r="J111" s="19">
        <f t="shared" si="1"/>
        <v>-211450.5</v>
      </c>
    </row>
    <row r="112" spans="1:10" x14ac:dyDescent="0.45">
      <c r="A112" s="165" t="s">
        <v>233</v>
      </c>
      <c r="B112" s="165" t="s">
        <v>234</v>
      </c>
      <c r="C112" s="165" t="s">
        <v>0</v>
      </c>
      <c r="D112" s="166">
        <v>61702</v>
      </c>
      <c r="E112" s="166"/>
      <c r="F112" s="166"/>
      <c r="G112" s="166"/>
      <c r="I112" s="14" t="str">
        <f>VLOOKUP(A112,bnc_Map!A:C,3,FALSE)</f>
        <v>[BnC-2R01] BnC Renovation</v>
      </c>
      <c r="J112" s="19">
        <f t="shared" si="1"/>
        <v>61702</v>
      </c>
    </row>
    <row r="113" spans="1:10" x14ac:dyDescent="0.45">
      <c r="A113" s="165" t="s">
        <v>235</v>
      </c>
      <c r="B113" s="165" t="s">
        <v>236</v>
      </c>
      <c r="C113" s="165" t="s">
        <v>0</v>
      </c>
      <c r="D113" s="166"/>
      <c r="E113" s="166">
        <v>59988.05</v>
      </c>
      <c r="F113" s="166"/>
      <c r="G113" s="166"/>
      <c r="I113" s="14" t="str">
        <f>VLOOKUP(A113,bnc_Map!A:C,3,FALSE)</f>
        <v>[BnC-2R01] BnC Acc Depn-Renovation</v>
      </c>
      <c r="J113" s="19">
        <f t="shared" si="1"/>
        <v>-59988.05</v>
      </c>
    </row>
    <row r="114" spans="1:10" x14ac:dyDescent="0.45">
      <c r="A114" s="165" t="s">
        <v>237</v>
      </c>
      <c r="B114" s="165" t="s">
        <v>238</v>
      </c>
      <c r="C114" s="165" t="s">
        <v>0</v>
      </c>
      <c r="D114" s="166">
        <v>193170</v>
      </c>
      <c r="E114" s="166"/>
      <c r="F114" s="166"/>
      <c r="G114" s="166"/>
      <c r="I114" s="14" t="str">
        <f>VLOOKUP(A114,bnc_Map!A:C,3,FALSE)</f>
        <v>[BnC-2R01] BnC Renovation</v>
      </c>
      <c r="J114" s="19">
        <f t="shared" si="1"/>
        <v>193170</v>
      </c>
    </row>
    <row r="115" spans="1:10" x14ac:dyDescent="0.45">
      <c r="A115" s="165" t="s">
        <v>239</v>
      </c>
      <c r="B115" s="165" t="s">
        <v>240</v>
      </c>
      <c r="C115" s="165" t="s">
        <v>0</v>
      </c>
      <c r="D115" s="166"/>
      <c r="E115" s="166">
        <v>193170</v>
      </c>
      <c r="F115" s="166"/>
      <c r="G115" s="166"/>
      <c r="I115" s="14" t="str">
        <f>VLOOKUP(A115,bnc_Map!A:C,3,FALSE)</f>
        <v>[BnC-2R01] BnC Acc Depn-Renovation</v>
      </c>
      <c r="J115" s="19">
        <f t="shared" si="1"/>
        <v>-193170</v>
      </c>
    </row>
    <row r="116" spans="1:10" x14ac:dyDescent="0.45">
      <c r="A116" s="165" t="s">
        <v>241</v>
      </c>
      <c r="B116" s="165" t="s">
        <v>242</v>
      </c>
      <c r="C116" s="165" t="s">
        <v>0</v>
      </c>
      <c r="D116" s="166">
        <v>275072.5</v>
      </c>
      <c r="E116" s="166"/>
      <c r="F116" s="166"/>
      <c r="G116" s="166"/>
      <c r="I116" s="14" t="str">
        <f>VLOOKUP(A116,bnc_Map!A:C,3,FALSE)</f>
        <v>[BnC-2R01] BnC Renovation</v>
      </c>
      <c r="J116" s="19">
        <f t="shared" si="1"/>
        <v>275072.5</v>
      </c>
    </row>
    <row r="117" spans="1:10" x14ac:dyDescent="0.45">
      <c r="A117" s="165" t="s">
        <v>243</v>
      </c>
      <c r="B117" s="165" t="s">
        <v>244</v>
      </c>
      <c r="C117" s="165" t="s">
        <v>0</v>
      </c>
      <c r="D117" s="166"/>
      <c r="E117" s="166">
        <v>274645.5</v>
      </c>
      <c r="F117" s="166"/>
      <c r="G117" s="166">
        <v>427.8</v>
      </c>
      <c r="I117" s="14" t="str">
        <f>VLOOKUP(A117,bnc_Map!A:C,3,FALSE)</f>
        <v>[BnC-2R01] BnC Acc Depn-Renovation</v>
      </c>
      <c r="J117" s="19">
        <f t="shared" si="1"/>
        <v>-274645.5</v>
      </c>
    </row>
    <row r="118" spans="1:10" x14ac:dyDescent="0.45">
      <c r="A118" s="165" t="s">
        <v>245</v>
      </c>
      <c r="B118" s="165" t="s">
        <v>246</v>
      </c>
      <c r="C118" s="165" t="s">
        <v>0</v>
      </c>
      <c r="D118" s="166">
        <v>243984.09</v>
      </c>
      <c r="E118" s="166"/>
      <c r="F118" s="166"/>
      <c r="G118" s="166"/>
      <c r="I118" s="14" t="str">
        <f>VLOOKUP(A118,bnc_Map!A:C,3,FALSE)</f>
        <v>[BnC-2R01] BnC Renovation</v>
      </c>
      <c r="J118" s="19">
        <f t="shared" si="1"/>
        <v>243984.09</v>
      </c>
    </row>
    <row r="119" spans="1:10" x14ac:dyDescent="0.45">
      <c r="A119" s="165" t="s">
        <v>247</v>
      </c>
      <c r="B119" s="165" t="s">
        <v>248</v>
      </c>
      <c r="C119" s="165" t="s">
        <v>0</v>
      </c>
      <c r="D119" s="166"/>
      <c r="E119" s="166">
        <v>243984.09</v>
      </c>
      <c r="F119" s="166"/>
      <c r="G119" s="166">
        <v>6778.59</v>
      </c>
      <c r="I119" s="14" t="str">
        <f>VLOOKUP(A119,bnc_Map!A:C,3,FALSE)</f>
        <v>[BnC-2R01] BnC Acc Depn-Renovation</v>
      </c>
      <c r="J119" s="19">
        <f t="shared" si="1"/>
        <v>-243984.09</v>
      </c>
    </row>
    <row r="120" spans="1:10" x14ac:dyDescent="0.45">
      <c r="A120" s="165" t="s">
        <v>249</v>
      </c>
      <c r="B120" s="165" t="s">
        <v>250</v>
      </c>
      <c r="C120" s="165" t="s">
        <v>0</v>
      </c>
      <c r="D120" s="166">
        <v>303026.65999999997</v>
      </c>
      <c r="E120" s="166"/>
      <c r="F120" s="166"/>
      <c r="G120" s="166"/>
      <c r="I120" s="14" t="str">
        <f>VLOOKUP(A120,bnc_Map!A:C,3,FALSE)</f>
        <v>[BnC-2R01] BnC Renovation</v>
      </c>
      <c r="J120" s="19">
        <f t="shared" si="1"/>
        <v>303026.65999999997</v>
      </c>
    </row>
    <row r="121" spans="1:10" x14ac:dyDescent="0.45">
      <c r="A121" s="165" t="s">
        <v>251</v>
      </c>
      <c r="B121" s="165" t="s">
        <v>252</v>
      </c>
      <c r="C121" s="165" t="s">
        <v>0</v>
      </c>
      <c r="D121" s="166"/>
      <c r="E121" s="166">
        <v>293253.87</v>
      </c>
      <c r="F121" s="166"/>
      <c r="G121" s="166">
        <v>8417.57</v>
      </c>
      <c r="I121" s="14" t="str">
        <f>VLOOKUP(A121,bnc_Map!A:C,3,FALSE)</f>
        <v>[BnC-2R01] BnC Acc Depn-Renovation</v>
      </c>
      <c r="J121" s="19">
        <f t="shared" si="1"/>
        <v>-293253.87</v>
      </c>
    </row>
    <row r="122" spans="1:10" x14ac:dyDescent="0.45">
      <c r="A122" s="165" t="s">
        <v>253</v>
      </c>
      <c r="B122" s="165" t="s">
        <v>254</v>
      </c>
      <c r="C122" s="165" t="s">
        <v>0</v>
      </c>
      <c r="D122" s="166">
        <v>408352.89</v>
      </c>
      <c r="E122" s="166"/>
      <c r="F122" s="166"/>
      <c r="G122" s="166"/>
      <c r="I122" s="14" t="str">
        <f>VLOOKUP(A122,bnc_Map!A:C,3,FALSE)</f>
        <v>[BnC-2R01] BnC Renovation</v>
      </c>
      <c r="J122" s="19">
        <f t="shared" si="1"/>
        <v>408352.89</v>
      </c>
    </row>
    <row r="123" spans="1:10" x14ac:dyDescent="0.45">
      <c r="A123" s="165" t="s">
        <v>255</v>
      </c>
      <c r="B123" s="165" t="s">
        <v>256</v>
      </c>
      <c r="C123" s="165" t="s">
        <v>0</v>
      </c>
      <c r="D123" s="166"/>
      <c r="E123" s="166">
        <v>311203.84999999998</v>
      </c>
      <c r="F123" s="166"/>
      <c r="G123" s="166">
        <v>11540.63</v>
      </c>
      <c r="I123" s="14" t="str">
        <f>VLOOKUP(A123,bnc_Map!A:C,3,FALSE)</f>
        <v>[BnC-2R01] BnC Acc Depn-Renovation</v>
      </c>
      <c r="J123" s="19">
        <f t="shared" si="1"/>
        <v>-311203.84999999998</v>
      </c>
    </row>
    <row r="124" spans="1:10" x14ac:dyDescent="0.45">
      <c r="A124" s="165" t="s">
        <v>257</v>
      </c>
      <c r="B124" s="165" t="s">
        <v>258</v>
      </c>
      <c r="C124" s="165" t="s">
        <v>0</v>
      </c>
      <c r="D124" s="166">
        <v>290122.5</v>
      </c>
      <c r="E124" s="166"/>
      <c r="F124" s="166"/>
      <c r="G124" s="166"/>
      <c r="I124" s="14" t="str">
        <f>VLOOKUP(A124,bnc_Map!A:C,3,FALSE)</f>
        <v>[BnC-2R01] BnC Renovation</v>
      </c>
      <c r="J124" s="19">
        <f t="shared" si="1"/>
        <v>290122.5</v>
      </c>
    </row>
    <row r="125" spans="1:10" x14ac:dyDescent="0.45">
      <c r="A125" s="165" t="s">
        <v>259</v>
      </c>
      <c r="B125" s="165" t="s">
        <v>260</v>
      </c>
      <c r="C125" s="165" t="s">
        <v>0</v>
      </c>
      <c r="D125" s="166"/>
      <c r="E125" s="166">
        <v>96707.48</v>
      </c>
      <c r="F125" s="166"/>
      <c r="G125" s="166">
        <v>8058.96</v>
      </c>
      <c r="I125" s="14" t="str">
        <f>VLOOKUP(A125,bnc_Map!A:C,3,FALSE)</f>
        <v>[BnC-2R01] BnC Acc Depn-Renovation</v>
      </c>
      <c r="J125" s="19">
        <f t="shared" si="1"/>
        <v>-96707.48</v>
      </c>
    </row>
    <row r="126" spans="1:10" x14ac:dyDescent="0.45">
      <c r="A126" s="165" t="s">
        <v>265</v>
      </c>
      <c r="B126" s="165" t="s">
        <v>266</v>
      </c>
      <c r="C126" s="165" t="s">
        <v>0</v>
      </c>
      <c r="D126" s="166">
        <v>11094.98</v>
      </c>
      <c r="E126" s="166"/>
      <c r="F126" s="166"/>
      <c r="G126" s="166"/>
      <c r="I126" s="14" t="str">
        <f>VLOOKUP(A126,bnc_Map!A:C,3,FALSE)</f>
        <v>[BnC-2S01] BnC Software</v>
      </c>
      <c r="J126" s="19">
        <f t="shared" si="1"/>
        <v>11094.98</v>
      </c>
    </row>
    <row r="127" spans="1:10" x14ac:dyDescent="0.45">
      <c r="A127" s="165" t="s">
        <v>267</v>
      </c>
      <c r="B127" s="165" t="s">
        <v>268</v>
      </c>
      <c r="C127" s="165" t="s">
        <v>0</v>
      </c>
      <c r="D127" s="166"/>
      <c r="E127" s="166">
        <v>10648.56</v>
      </c>
      <c r="F127" s="166"/>
      <c r="G127" s="166">
        <v>44.62</v>
      </c>
      <c r="I127" s="14" t="str">
        <f>VLOOKUP(A127,bnc_Map!A:C,3,FALSE)</f>
        <v>[BnC-2S01] BnC Acc Depreciation - Software</v>
      </c>
      <c r="J127" s="19">
        <f t="shared" si="1"/>
        <v>-10648.56</v>
      </c>
    </row>
    <row r="128" spans="1:10" x14ac:dyDescent="0.45">
      <c r="A128" s="165" t="s">
        <v>269</v>
      </c>
      <c r="B128" s="165" t="s">
        <v>270</v>
      </c>
      <c r="C128" s="165" t="s">
        <v>0</v>
      </c>
      <c r="D128" s="166">
        <v>10456.39</v>
      </c>
      <c r="E128" s="166"/>
      <c r="F128" s="166"/>
      <c r="G128" s="166"/>
      <c r="I128" s="14" t="str">
        <f>VLOOKUP(A128,bnc_Map!A:C,3,FALSE)</f>
        <v>[BnC-2S01] BnC Software</v>
      </c>
      <c r="J128" s="19">
        <f t="shared" si="1"/>
        <v>10456.39</v>
      </c>
    </row>
    <row r="129" spans="1:10" x14ac:dyDescent="0.45">
      <c r="A129" s="165" t="s">
        <v>271</v>
      </c>
      <c r="B129" s="165" t="s">
        <v>272</v>
      </c>
      <c r="C129" s="165" t="s">
        <v>0</v>
      </c>
      <c r="D129" s="166"/>
      <c r="E129" s="166">
        <v>10556.06</v>
      </c>
      <c r="F129" s="166"/>
      <c r="G129" s="166"/>
      <c r="I129" s="14" t="str">
        <f>VLOOKUP(A129,bnc_Map!A:C,3,FALSE)</f>
        <v>[BnC-2S01] BnC Acc Depreciation - Software</v>
      </c>
      <c r="J129" s="19">
        <f t="shared" si="1"/>
        <v>-10556.06</v>
      </c>
    </row>
    <row r="130" spans="1:10" x14ac:dyDescent="0.45">
      <c r="A130" s="165" t="s">
        <v>273</v>
      </c>
      <c r="B130" s="165" t="s">
        <v>274</v>
      </c>
      <c r="C130" s="165" t="s">
        <v>0</v>
      </c>
      <c r="D130" s="166">
        <v>10496.39</v>
      </c>
      <c r="E130" s="166"/>
      <c r="F130" s="166"/>
      <c r="G130" s="166"/>
      <c r="I130" s="14" t="str">
        <f>VLOOKUP(A130,bnc_Map!A:C,3,FALSE)</f>
        <v>[BnC-2S01] BnC Software</v>
      </c>
      <c r="J130" s="19">
        <f t="shared" si="1"/>
        <v>10496.39</v>
      </c>
    </row>
    <row r="131" spans="1:10" x14ac:dyDescent="0.45">
      <c r="A131" s="165" t="s">
        <v>275</v>
      </c>
      <c r="B131" s="165" t="s">
        <v>276</v>
      </c>
      <c r="C131" s="165" t="s">
        <v>0</v>
      </c>
      <c r="D131" s="166"/>
      <c r="E131" s="166">
        <v>10396.719999999999</v>
      </c>
      <c r="F131" s="166"/>
      <c r="G131" s="166"/>
      <c r="I131" s="14" t="str">
        <f>VLOOKUP(A131,bnc_Map!A:C,3,FALSE)</f>
        <v>[BnC-2S01] BnC Acc Depreciation - Software</v>
      </c>
      <c r="J131" s="19">
        <f t="shared" si="1"/>
        <v>-10396.719999999999</v>
      </c>
    </row>
    <row r="132" spans="1:10" x14ac:dyDescent="0.45">
      <c r="A132" s="165" t="s">
        <v>277</v>
      </c>
      <c r="B132" s="165" t="s">
        <v>278</v>
      </c>
      <c r="C132" s="165" t="s">
        <v>0</v>
      </c>
      <c r="D132" s="166">
        <v>17304.8</v>
      </c>
      <c r="E132" s="166"/>
      <c r="F132" s="166"/>
      <c r="G132" s="166"/>
      <c r="I132" s="14" t="str">
        <f>VLOOKUP(A132,bnc_Map!A:C,3,FALSE)</f>
        <v>[BnC-2S01] BnC Software</v>
      </c>
      <c r="J132" s="19">
        <f t="shared" si="1"/>
        <v>17304.8</v>
      </c>
    </row>
    <row r="133" spans="1:10" x14ac:dyDescent="0.45">
      <c r="A133" s="165" t="s">
        <v>279</v>
      </c>
      <c r="B133" s="165" t="s">
        <v>280</v>
      </c>
      <c r="C133" s="165" t="s">
        <v>0</v>
      </c>
      <c r="D133" s="166"/>
      <c r="E133" s="166">
        <v>16954.099999999999</v>
      </c>
      <c r="F133" s="166"/>
      <c r="G133" s="166"/>
      <c r="I133" s="14" t="str">
        <f>VLOOKUP(A133,bnc_Map!A:C,3,FALSE)</f>
        <v>[BnC-2S01] BnC Acc Depreciation - Software</v>
      </c>
      <c r="J133" s="19">
        <f t="shared" si="1"/>
        <v>-16954.099999999999</v>
      </c>
    </row>
    <row r="134" spans="1:10" x14ac:dyDescent="0.45">
      <c r="A134" s="165" t="s">
        <v>281</v>
      </c>
      <c r="B134" s="165" t="s">
        <v>282</v>
      </c>
      <c r="C134" s="165" t="s">
        <v>0</v>
      </c>
      <c r="D134" s="166">
        <v>12353.6</v>
      </c>
      <c r="E134" s="166"/>
      <c r="F134" s="166"/>
      <c r="G134" s="166"/>
      <c r="I134" s="14" t="str">
        <f>VLOOKUP(A134,bnc_Map!A:C,3,FALSE)</f>
        <v>[BnC-2S01] BnC Software</v>
      </c>
      <c r="J134" s="19">
        <f t="shared" ref="J134:J197" si="2">D134-E134</f>
        <v>12353.6</v>
      </c>
    </row>
    <row r="135" spans="1:10" x14ac:dyDescent="0.45">
      <c r="A135" s="165" t="s">
        <v>283</v>
      </c>
      <c r="B135" s="165" t="s">
        <v>284</v>
      </c>
      <c r="C135" s="165" t="s">
        <v>0</v>
      </c>
      <c r="D135" s="166"/>
      <c r="E135" s="166">
        <v>12967.12</v>
      </c>
      <c r="F135" s="166"/>
      <c r="G135" s="166"/>
      <c r="I135" s="14" t="str">
        <f>VLOOKUP(A135,bnc_Map!A:C,3,FALSE)</f>
        <v>[BnC-2S01] BnC Acc Depreciation - Software</v>
      </c>
      <c r="J135" s="19">
        <f t="shared" si="2"/>
        <v>-12967.12</v>
      </c>
    </row>
    <row r="136" spans="1:10" x14ac:dyDescent="0.45">
      <c r="A136" s="165" t="s">
        <v>285</v>
      </c>
      <c r="B136" s="165" t="s">
        <v>286</v>
      </c>
      <c r="C136" s="165" t="s">
        <v>0</v>
      </c>
      <c r="D136" s="166">
        <v>6885</v>
      </c>
      <c r="E136" s="166"/>
      <c r="F136" s="166"/>
      <c r="G136" s="166"/>
      <c r="I136" s="14" t="str">
        <f>VLOOKUP(A136,bnc_Map!A:C,3,FALSE)</f>
        <v>[BnC-2S01] BnC Software</v>
      </c>
      <c r="J136" s="19">
        <f t="shared" si="2"/>
        <v>6885</v>
      </c>
    </row>
    <row r="137" spans="1:10" x14ac:dyDescent="0.45">
      <c r="A137" s="165" t="s">
        <v>287</v>
      </c>
      <c r="B137" s="165" t="s">
        <v>288</v>
      </c>
      <c r="C137" s="165" t="s">
        <v>0</v>
      </c>
      <c r="D137" s="166"/>
      <c r="E137" s="166">
        <v>6622.18</v>
      </c>
      <c r="F137" s="166"/>
      <c r="G137" s="166"/>
      <c r="I137" s="14" t="str">
        <f>VLOOKUP(A137,bnc_Map!A:C,3,FALSE)</f>
        <v>[BnC-2S01] BnC Acc Depreciation - Software</v>
      </c>
      <c r="J137" s="19">
        <f t="shared" si="2"/>
        <v>-6622.18</v>
      </c>
    </row>
    <row r="138" spans="1:10" x14ac:dyDescent="0.45">
      <c r="A138" s="165" t="s">
        <v>289</v>
      </c>
      <c r="B138" s="165" t="s">
        <v>290</v>
      </c>
      <c r="C138" s="165" t="s">
        <v>0</v>
      </c>
      <c r="D138" s="166">
        <v>15368</v>
      </c>
      <c r="E138" s="166"/>
      <c r="F138" s="166"/>
      <c r="G138" s="166"/>
      <c r="I138" s="14" t="str">
        <f>VLOOKUP(A138,bnc_Map!A:C,3,FALSE)</f>
        <v>[BnC-2S01] BnC Software</v>
      </c>
      <c r="J138" s="19">
        <f t="shared" si="2"/>
        <v>15368</v>
      </c>
    </row>
    <row r="139" spans="1:10" x14ac:dyDescent="0.45">
      <c r="A139" s="165" t="s">
        <v>291</v>
      </c>
      <c r="B139" s="165" t="s">
        <v>292</v>
      </c>
      <c r="C139" s="165" t="s">
        <v>0</v>
      </c>
      <c r="D139" s="166"/>
      <c r="E139" s="166">
        <v>15368</v>
      </c>
      <c r="F139" s="166"/>
      <c r="G139" s="166"/>
      <c r="I139" s="14" t="str">
        <f>VLOOKUP(A139,bnc_Map!A:C,3,FALSE)</f>
        <v>[BnC-2S01] BnC Acc Depreciation - Software</v>
      </c>
      <c r="J139" s="19">
        <f t="shared" si="2"/>
        <v>-15368</v>
      </c>
    </row>
    <row r="140" spans="1:10" x14ac:dyDescent="0.45">
      <c r="A140" s="165" t="s">
        <v>293</v>
      </c>
      <c r="B140" s="165" t="s">
        <v>294</v>
      </c>
      <c r="C140" s="165" t="s">
        <v>0</v>
      </c>
      <c r="D140" s="166">
        <v>5019.8599999999997</v>
      </c>
      <c r="E140" s="166"/>
      <c r="F140" s="166"/>
      <c r="G140" s="166"/>
      <c r="I140" s="14" t="str">
        <f>VLOOKUP(A140,bnc_Map!A:C,3,FALSE)</f>
        <v>[BnC-2S01] BnC Software</v>
      </c>
      <c r="J140" s="19">
        <f t="shared" si="2"/>
        <v>5019.8599999999997</v>
      </c>
    </row>
    <row r="141" spans="1:10" x14ac:dyDescent="0.45">
      <c r="A141" s="165" t="s">
        <v>295</v>
      </c>
      <c r="B141" s="165" t="s">
        <v>296</v>
      </c>
      <c r="C141" s="165" t="s">
        <v>0</v>
      </c>
      <c r="D141" s="166"/>
      <c r="E141" s="166">
        <v>5019.8599999999997</v>
      </c>
      <c r="F141" s="166"/>
      <c r="G141" s="166"/>
      <c r="I141" s="14" t="str">
        <f>VLOOKUP(A141,bnc_Map!A:C,3,FALSE)</f>
        <v>[BnC-2S01] BnC Acc Depreciation - Software</v>
      </c>
      <c r="J141" s="19">
        <f t="shared" si="2"/>
        <v>-5019.8599999999997</v>
      </c>
    </row>
    <row r="142" spans="1:10" x14ac:dyDescent="0.45">
      <c r="A142" s="165" t="s">
        <v>297</v>
      </c>
      <c r="B142" s="165" t="s">
        <v>298</v>
      </c>
      <c r="C142" s="165" t="s">
        <v>0</v>
      </c>
      <c r="D142" s="166">
        <v>4374.3</v>
      </c>
      <c r="E142" s="166"/>
      <c r="F142" s="166"/>
      <c r="G142" s="166"/>
      <c r="I142" s="14" t="str">
        <f>VLOOKUP(A142,bnc_Map!A:C,3,FALSE)</f>
        <v>[BnC-2S01] BnC Software</v>
      </c>
      <c r="J142" s="19">
        <f t="shared" si="2"/>
        <v>4374.3</v>
      </c>
    </row>
    <row r="143" spans="1:10" x14ac:dyDescent="0.45">
      <c r="A143" s="165" t="s">
        <v>299</v>
      </c>
      <c r="B143" s="165" t="s">
        <v>300</v>
      </c>
      <c r="C143" s="165" t="s">
        <v>0</v>
      </c>
      <c r="D143" s="166"/>
      <c r="E143" s="166">
        <v>4374.3</v>
      </c>
      <c r="F143" s="166"/>
      <c r="G143" s="166"/>
      <c r="I143" s="14" t="str">
        <f>VLOOKUP(A143,bnc_Map!A:C,3,FALSE)</f>
        <v>[BnC-2S01] BnC Acc Depreciation - Software</v>
      </c>
      <c r="J143" s="19">
        <f t="shared" si="2"/>
        <v>-4374.3</v>
      </c>
    </row>
    <row r="144" spans="1:10" x14ac:dyDescent="0.45">
      <c r="A144" s="165" t="s">
        <v>301</v>
      </c>
      <c r="B144" s="165" t="s">
        <v>302</v>
      </c>
      <c r="C144" s="165" t="s">
        <v>0</v>
      </c>
      <c r="D144" s="166">
        <v>6556.5</v>
      </c>
      <c r="E144" s="166"/>
      <c r="F144" s="166"/>
      <c r="G144" s="166"/>
      <c r="I144" s="14" t="str">
        <f>VLOOKUP(A144,bnc_Map!A:C,3,FALSE)</f>
        <v>[BnC-2S01] BnC Software</v>
      </c>
      <c r="J144" s="19">
        <f t="shared" si="2"/>
        <v>6556.5</v>
      </c>
    </row>
    <row r="145" spans="1:10" x14ac:dyDescent="0.45">
      <c r="A145" s="165" t="s">
        <v>303</v>
      </c>
      <c r="B145" s="165" t="s">
        <v>304</v>
      </c>
      <c r="C145" s="165" t="s">
        <v>0</v>
      </c>
      <c r="D145" s="166"/>
      <c r="E145" s="166">
        <v>6556.5</v>
      </c>
      <c r="F145" s="166"/>
      <c r="G145" s="166"/>
      <c r="I145" s="14" t="str">
        <f>VLOOKUP(A145,bnc_Map!A:C,3,FALSE)</f>
        <v>[BnC-2S01] BnC Acc Depreciation - Software</v>
      </c>
      <c r="J145" s="19">
        <f t="shared" si="2"/>
        <v>-6556.5</v>
      </c>
    </row>
    <row r="146" spans="1:10" x14ac:dyDescent="0.45">
      <c r="A146" s="165" t="s">
        <v>305</v>
      </c>
      <c r="B146" s="165" t="s">
        <v>306</v>
      </c>
      <c r="C146" s="165" t="s">
        <v>0</v>
      </c>
      <c r="D146" s="166">
        <v>6274.4</v>
      </c>
      <c r="E146" s="166"/>
      <c r="F146" s="166"/>
      <c r="G146" s="166"/>
      <c r="I146" s="14" t="str">
        <f>VLOOKUP(A146,bnc_Map!A:C,3,FALSE)</f>
        <v>[BnC-2S01] BnC Software</v>
      </c>
      <c r="J146" s="19">
        <f t="shared" si="2"/>
        <v>6274.4</v>
      </c>
    </row>
    <row r="147" spans="1:10" x14ac:dyDescent="0.45">
      <c r="A147" s="165" t="s">
        <v>307</v>
      </c>
      <c r="B147" s="165" t="s">
        <v>308</v>
      </c>
      <c r="C147" s="165" t="s">
        <v>0</v>
      </c>
      <c r="D147" s="166"/>
      <c r="E147" s="166">
        <v>6274.4</v>
      </c>
      <c r="F147" s="166"/>
      <c r="G147" s="166"/>
      <c r="I147" s="14" t="str">
        <f>VLOOKUP(A147,bnc_Map!A:C,3,FALSE)</f>
        <v>[BnC-2S01] BnC Acc Depreciation - Software</v>
      </c>
      <c r="J147" s="19">
        <f t="shared" si="2"/>
        <v>-6274.4</v>
      </c>
    </row>
    <row r="148" spans="1:10" x14ac:dyDescent="0.45">
      <c r="A148" s="165" t="s">
        <v>309</v>
      </c>
      <c r="B148" s="165" t="s">
        <v>310</v>
      </c>
      <c r="C148" s="165" t="s">
        <v>0</v>
      </c>
      <c r="D148" s="166">
        <v>21947.1</v>
      </c>
      <c r="E148" s="166"/>
      <c r="F148" s="166"/>
      <c r="G148" s="166"/>
      <c r="I148" s="14" t="str">
        <f>VLOOKUP(A148,bnc_Map!A:C,3,FALSE)</f>
        <v>[BnC-2S01] BnC Software</v>
      </c>
      <c r="J148" s="19">
        <f t="shared" si="2"/>
        <v>21947.1</v>
      </c>
    </row>
    <row r="149" spans="1:10" x14ac:dyDescent="0.45">
      <c r="A149" s="165" t="s">
        <v>311</v>
      </c>
      <c r="B149" s="165" t="s">
        <v>312</v>
      </c>
      <c r="C149" s="165" t="s">
        <v>0</v>
      </c>
      <c r="D149" s="166"/>
      <c r="E149" s="166">
        <v>3800.04</v>
      </c>
      <c r="F149" s="166"/>
      <c r="G149" s="166">
        <v>316.67</v>
      </c>
      <c r="I149" s="14" t="str">
        <f>VLOOKUP(A149,bnc_Map!A:C,3,FALSE)</f>
        <v>[BnC-2S01] BnC Acc Depreciation - Software</v>
      </c>
      <c r="J149" s="19">
        <f t="shared" si="2"/>
        <v>-3800.04</v>
      </c>
    </row>
    <row r="150" spans="1:10" x14ac:dyDescent="0.45">
      <c r="A150" s="165" t="s">
        <v>317</v>
      </c>
      <c r="B150" s="165" t="s">
        <v>318</v>
      </c>
      <c r="C150" s="165" t="s">
        <v>0</v>
      </c>
      <c r="D150" s="166">
        <v>18454.330000000002</v>
      </c>
      <c r="E150" s="166"/>
      <c r="F150" s="166"/>
      <c r="G150" s="166"/>
      <c r="I150" s="14" t="str">
        <f>VLOOKUP(A150,bnc_Map!A:C,3,FALSE)</f>
        <v>[BnC-2T01] BnC Telephone And Cabling</v>
      </c>
      <c r="J150" s="19">
        <f t="shared" si="2"/>
        <v>18454.330000000002</v>
      </c>
    </row>
    <row r="151" spans="1:10" x14ac:dyDescent="0.45">
      <c r="A151" s="165" t="s">
        <v>319</v>
      </c>
      <c r="B151" s="165" t="s">
        <v>320</v>
      </c>
      <c r="C151" s="165" t="s">
        <v>0</v>
      </c>
      <c r="D151" s="166"/>
      <c r="E151" s="166">
        <v>18454.330000000002</v>
      </c>
      <c r="F151" s="166"/>
      <c r="G151" s="166"/>
      <c r="I151" s="14" t="str">
        <f>VLOOKUP(A151,bnc_Map!A:C,3,FALSE)</f>
        <v>[BnC-2T01] BnC Acc Depreciation - Telphone and Cabling</v>
      </c>
      <c r="J151" s="19">
        <f t="shared" si="2"/>
        <v>-18454.330000000002</v>
      </c>
    </row>
    <row r="152" spans="1:10" x14ac:dyDescent="0.45">
      <c r="A152" s="165" t="s">
        <v>321</v>
      </c>
      <c r="B152" s="165" t="s">
        <v>322</v>
      </c>
      <c r="C152" s="165" t="s">
        <v>0</v>
      </c>
      <c r="D152" s="166">
        <v>206002.63</v>
      </c>
      <c r="E152" s="166"/>
      <c r="F152" s="166">
        <v>81678.429999999993</v>
      </c>
      <c r="G152" s="166"/>
      <c r="I152" s="14" t="str">
        <f>VLOOKUP(A152,bnc_Map!A:C,3,FALSE)</f>
        <v>[BnC-3000] BnC Trade Debtors</v>
      </c>
      <c r="J152" s="19">
        <f t="shared" si="2"/>
        <v>206002.63</v>
      </c>
    </row>
    <row r="153" spans="1:10" x14ac:dyDescent="0.45">
      <c r="A153" s="165" t="s">
        <v>323</v>
      </c>
      <c r="B153" s="165" t="s">
        <v>324</v>
      </c>
      <c r="C153" s="165" t="s">
        <v>0</v>
      </c>
      <c r="D153" s="166"/>
      <c r="E153" s="166">
        <v>621</v>
      </c>
      <c r="F153" s="166">
        <v>38</v>
      </c>
      <c r="G153" s="166"/>
      <c r="I153" s="14" t="str">
        <f>VLOOKUP(A153,bnc_Map!A:C,3,FALSE)</f>
        <v>[BnC-3010] BnC Petty Cash</v>
      </c>
      <c r="J153" s="19">
        <f t="shared" si="2"/>
        <v>-621</v>
      </c>
    </row>
    <row r="154" spans="1:10" x14ac:dyDescent="0.45">
      <c r="A154" s="165" t="s">
        <v>325</v>
      </c>
      <c r="B154" s="165" t="s">
        <v>326</v>
      </c>
      <c r="C154" s="165" t="s">
        <v>0</v>
      </c>
      <c r="D154" s="166">
        <v>1.55</v>
      </c>
      <c r="E154" s="166"/>
      <c r="F154" s="166"/>
      <c r="G154" s="166">
        <v>229.25</v>
      </c>
      <c r="I154" s="14" t="str">
        <f>VLOOKUP(A154,bnc_Map!A:C,3,FALSE)</f>
        <v>[BnC-3010] BnC Petty Cash</v>
      </c>
      <c r="J154" s="19">
        <f t="shared" si="2"/>
        <v>1.55</v>
      </c>
    </row>
    <row r="155" spans="1:10" x14ac:dyDescent="0.45">
      <c r="A155" s="165" t="s">
        <v>327</v>
      </c>
      <c r="B155" s="165" t="s">
        <v>328</v>
      </c>
      <c r="C155" s="165" t="s">
        <v>0</v>
      </c>
      <c r="D155" s="166">
        <v>158.22999999999999</v>
      </c>
      <c r="E155" s="166"/>
      <c r="F155" s="166"/>
      <c r="G155" s="166">
        <v>320.87</v>
      </c>
      <c r="I155" s="14" t="str">
        <f>VLOOKUP(A155,bnc_Map!A:C,3,FALSE)</f>
        <v>[BnC-3010] BnC Petty Cash</v>
      </c>
      <c r="J155" s="19">
        <f t="shared" si="2"/>
        <v>158.22999999999999</v>
      </c>
    </row>
    <row r="156" spans="1:10" x14ac:dyDescent="0.45">
      <c r="A156" s="165" t="s">
        <v>329</v>
      </c>
      <c r="B156" s="165" t="s">
        <v>330</v>
      </c>
      <c r="C156" s="165" t="s">
        <v>0</v>
      </c>
      <c r="D156" s="166">
        <v>526.12</v>
      </c>
      <c r="E156" s="166"/>
      <c r="F156" s="166"/>
      <c r="G156" s="166">
        <v>94.38</v>
      </c>
      <c r="I156" s="14" t="str">
        <f>VLOOKUP(A156,bnc_Map!A:C,3,FALSE)</f>
        <v>[BnC-3010] BnC Petty Cash</v>
      </c>
      <c r="J156" s="19">
        <f t="shared" si="2"/>
        <v>526.12</v>
      </c>
    </row>
    <row r="157" spans="1:10" x14ac:dyDescent="0.45">
      <c r="A157" s="165" t="s">
        <v>331</v>
      </c>
      <c r="B157" s="165" t="s">
        <v>332</v>
      </c>
      <c r="C157" s="165" t="s">
        <v>0</v>
      </c>
      <c r="D157" s="166"/>
      <c r="E157" s="166">
        <v>175.05</v>
      </c>
      <c r="F157" s="166">
        <v>142.75</v>
      </c>
      <c r="G157" s="166"/>
      <c r="I157" s="14" t="str">
        <f>VLOOKUP(A157,bnc_Map!A:C,3,FALSE)</f>
        <v>[BnC-3010] BnC Petty Cash</v>
      </c>
      <c r="J157" s="19">
        <f t="shared" si="2"/>
        <v>-175.05</v>
      </c>
    </row>
    <row r="158" spans="1:10" x14ac:dyDescent="0.45">
      <c r="A158" s="165" t="s">
        <v>333</v>
      </c>
      <c r="B158" s="165" t="s">
        <v>334</v>
      </c>
      <c r="C158" s="165" t="s">
        <v>0</v>
      </c>
      <c r="D158" s="166">
        <v>554.4</v>
      </c>
      <c r="E158" s="166"/>
      <c r="F158" s="166"/>
      <c r="G158" s="166">
        <v>76.8</v>
      </c>
      <c r="I158" s="14" t="str">
        <f>VLOOKUP(A158,bnc_Map!A:C,3,FALSE)</f>
        <v>[BnC-3010] BnC Petty Cash</v>
      </c>
      <c r="J158" s="19">
        <f t="shared" si="2"/>
        <v>554.4</v>
      </c>
    </row>
    <row r="159" spans="1:10" x14ac:dyDescent="0.45">
      <c r="A159" s="165" t="s">
        <v>335</v>
      </c>
      <c r="B159" s="165" t="s">
        <v>336</v>
      </c>
      <c r="C159" s="165" t="s">
        <v>0</v>
      </c>
      <c r="D159" s="166">
        <v>500</v>
      </c>
      <c r="E159" s="166"/>
      <c r="F159" s="166"/>
      <c r="G159" s="166"/>
      <c r="I159" s="14" t="str">
        <f>VLOOKUP(A159,bnc_Map!A:C,3,FALSE)</f>
        <v>[BnC-3010] BnC Petty Cash</v>
      </c>
      <c r="J159" s="19">
        <f t="shared" si="2"/>
        <v>500</v>
      </c>
    </row>
    <row r="160" spans="1:10" x14ac:dyDescent="0.45">
      <c r="A160" s="165" t="s">
        <v>337</v>
      </c>
      <c r="B160" s="165" t="s">
        <v>338</v>
      </c>
      <c r="C160" s="165" t="s">
        <v>0</v>
      </c>
      <c r="D160" s="166">
        <v>3390.05</v>
      </c>
      <c r="E160" s="166"/>
      <c r="F160" s="166"/>
      <c r="G160" s="166">
        <v>137.85</v>
      </c>
      <c r="I160" s="14" t="str">
        <f>VLOOKUP(A160,bnc_Map!A:C,3,FALSE)</f>
        <v>[BnC-3010] BnC Petty Cash</v>
      </c>
      <c r="J160" s="19">
        <f t="shared" si="2"/>
        <v>3390.05</v>
      </c>
    </row>
    <row r="161" spans="1:10" x14ac:dyDescent="0.45">
      <c r="A161" s="165" t="s">
        <v>339</v>
      </c>
      <c r="B161" s="165" t="s">
        <v>340</v>
      </c>
      <c r="C161" s="165" t="s">
        <v>0</v>
      </c>
      <c r="D161" s="166">
        <v>4430.41</v>
      </c>
      <c r="E161" s="166"/>
      <c r="F161" s="166"/>
      <c r="G161" s="166">
        <v>207.69</v>
      </c>
      <c r="I161" s="14" t="str">
        <f>VLOOKUP(A161,bnc_Map!A:C,3,FALSE)</f>
        <v>[BnC-3010] BnC Petty Cash</v>
      </c>
      <c r="J161" s="19">
        <f t="shared" si="2"/>
        <v>4430.41</v>
      </c>
    </row>
    <row r="162" spans="1:10" x14ac:dyDescent="0.45">
      <c r="A162" s="165" t="s">
        <v>341</v>
      </c>
      <c r="B162" s="165" t="s">
        <v>342</v>
      </c>
      <c r="C162" s="165" t="s">
        <v>0</v>
      </c>
      <c r="D162" s="166">
        <v>2058.19</v>
      </c>
      <c r="E162" s="166"/>
      <c r="F162" s="166"/>
      <c r="G162" s="166">
        <v>452.51</v>
      </c>
      <c r="I162" s="14" t="str">
        <f>VLOOKUP(A162,bnc_Map!A:C,3,FALSE)</f>
        <v>[BnC-3010] BnC Petty Cash</v>
      </c>
      <c r="J162" s="19">
        <f t="shared" si="2"/>
        <v>2058.19</v>
      </c>
    </row>
    <row r="163" spans="1:10" x14ac:dyDescent="0.45">
      <c r="A163" s="165" t="s">
        <v>343</v>
      </c>
      <c r="B163" s="165" t="s">
        <v>344</v>
      </c>
      <c r="C163" s="165" t="s">
        <v>0</v>
      </c>
      <c r="D163" s="166">
        <v>9500</v>
      </c>
      <c r="E163" s="166"/>
      <c r="F163" s="166"/>
      <c r="G163" s="166"/>
      <c r="I163" s="14" t="str">
        <f>VLOOKUP(A163,bnc_Map!A:C,3,FALSE)</f>
        <v>[BnC-3010] BnC Petty Cash</v>
      </c>
      <c r="J163" s="19">
        <f t="shared" si="2"/>
        <v>9500</v>
      </c>
    </row>
    <row r="164" spans="1:10" x14ac:dyDescent="0.45">
      <c r="A164" s="165" t="s">
        <v>345</v>
      </c>
      <c r="B164" s="165" t="s">
        <v>346</v>
      </c>
      <c r="C164" s="165" t="s">
        <v>0</v>
      </c>
      <c r="D164" s="166">
        <v>217.5</v>
      </c>
      <c r="E164" s="166"/>
      <c r="F164" s="166"/>
      <c r="G164" s="166">
        <v>558.6</v>
      </c>
      <c r="I164" s="14" t="str">
        <f>VLOOKUP(A164,bnc_Map!A:C,3,FALSE)</f>
        <v>[BnC-3010] BnC Petty Cash</v>
      </c>
      <c r="J164" s="19">
        <f t="shared" si="2"/>
        <v>217.5</v>
      </c>
    </row>
    <row r="165" spans="1:10" x14ac:dyDescent="0.45">
      <c r="A165" s="165" t="s">
        <v>347</v>
      </c>
      <c r="B165" s="165" t="s">
        <v>348</v>
      </c>
      <c r="C165" s="165" t="s">
        <v>0</v>
      </c>
      <c r="D165" s="166">
        <v>357.65</v>
      </c>
      <c r="E165" s="166"/>
      <c r="F165" s="166"/>
      <c r="G165" s="166">
        <v>642.35</v>
      </c>
      <c r="I165" s="14" t="str">
        <f>VLOOKUP(A165,bnc_Map!A:C,3,FALSE)</f>
        <v>[BnC-3010] BnC Petty Cash</v>
      </c>
      <c r="J165" s="19">
        <f t="shared" si="2"/>
        <v>357.65</v>
      </c>
    </row>
    <row r="166" spans="1:10" x14ac:dyDescent="0.45">
      <c r="A166" s="165" t="s">
        <v>349</v>
      </c>
      <c r="B166" s="165" t="s">
        <v>350</v>
      </c>
      <c r="C166" s="165" t="s">
        <v>0</v>
      </c>
      <c r="D166" s="166">
        <v>649.4</v>
      </c>
      <c r="E166" s="166"/>
      <c r="F166" s="166"/>
      <c r="G166" s="166">
        <v>350.6</v>
      </c>
      <c r="I166" s="14" t="str">
        <f>VLOOKUP(A166,bnc_Map!A:C,3,FALSE)</f>
        <v>[BnC-3010] BnC Petty Cash</v>
      </c>
      <c r="J166" s="19">
        <f t="shared" si="2"/>
        <v>649.4</v>
      </c>
    </row>
    <row r="167" spans="1:10" x14ac:dyDescent="0.45">
      <c r="A167" s="165" t="s">
        <v>353</v>
      </c>
      <c r="B167" s="165" t="s">
        <v>354</v>
      </c>
      <c r="C167" s="165" t="s">
        <v>0</v>
      </c>
      <c r="D167" s="166">
        <v>4400</v>
      </c>
      <c r="E167" s="166"/>
      <c r="F167" s="166"/>
      <c r="G167" s="166"/>
      <c r="I167" s="14" t="str">
        <f>VLOOKUP(A167,bnc_Map!A:C,3,FALSE)</f>
        <v>[BnC-3010] BnC Spare Cash Float</v>
      </c>
      <c r="J167" s="19">
        <f t="shared" si="2"/>
        <v>4400</v>
      </c>
    </row>
    <row r="168" spans="1:10" x14ac:dyDescent="0.45">
      <c r="A168" s="165" t="s">
        <v>355</v>
      </c>
      <c r="B168" s="165" t="s">
        <v>356</v>
      </c>
      <c r="C168" s="165" t="s">
        <v>0</v>
      </c>
      <c r="D168" s="166">
        <v>2400</v>
      </c>
      <c r="E168" s="166"/>
      <c r="F168" s="166"/>
      <c r="G168" s="166"/>
      <c r="I168" s="14" t="str">
        <f>VLOOKUP(A168,bnc_Map!A:C,3,FALSE)</f>
        <v>[BnC-3010] BnC Cash In POS</v>
      </c>
      <c r="J168" s="19">
        <f t="shared" si="2"/>
        <v>2400</v>
      </c>
    </row>
    <row r="169" spans="1:10" x14ac:dyDescent="0.45">
      <c r="A169" s="165" t="s">
        <v>357</v>
      </c>
      <c r="B169" s="165" t="s">
        <v>358</v>
      </c>
      <c r="C169" s="165" t="s">
        <v>0</v>
      </c>
      <c r="D169" s="166">
        <v>837233.42</v>
      </c>
      <c r="E169" s="166"/>
      <c r="F169" s="166">
        <v>40407.53</v>
      </c>
      <c r="G169" s="166"/>
      <c r="I169" s="14" t="str">
        <f>VLOOKUP(A169,bnc_Map!A:C,3,FALSE)</f>
        <v>[BnC-3010] BnC OCBC - SGD 641-102686-001</v>
      </c>
      <c r="J169" s="19">
        <f t="shared" si="2"/>
        <v>837233.42</v>
      </c>
    </row>
    <row r="170" spans="1:10" x14ac:dyDescent="0.45">
      <c r="A170" s="165" t="s">
        <v>359</v>
      </c>
      <c r="B170" s="165" t="s">
        <v>360</v>
      </c>
      <c r="C170" s="165" t="s">
        <v>0</v>
      </c>
      <c r="D170" s="166">
        <v>280957.40000000002</v>
      </c>
      <c r="E170" s="166"/>
      <c r="F170" s="166">
        <v>47548.800000000003</v>
      </c>
      <c r="G170" s="166"/>
      <c r="I170" s="14" t="str">
        <f>VLOOKUP(A170,bnc_Map!A:C,3,FALSE)</f>
        <v>[BnC-3010] BnC SCB - SGD 0102 7994 23</v>
      </c>
      <c r="J170" s="19">
        <f t="shared" si="2"/>
        <v>280957.40000000002</v>
      </c>
    </row>
    <row r="171" spans="1:10" x14ac:dyDescent="0.45">
      <c r="A171" s="165" t="s">
        <v>361</v>
      </c>
      <c r="B171" s="165" t="s">
        <v>362</v>
      </c>
      <c r="C171" s="165" t="s">
        <v>0</v>
      </c>
      <c r="D171" s="166">
        <v>42935.27</v>
      </c>
      <c r="E171" s="166"/>
      <c r="F171" s="166"/>
      <c r="G171" s="166">
        <v>4127.59</v>
      </c>
      <c r="I171" s="14" t="str">
        <f>VLOOKUP(A171,bnc_Map!A:C,3,FALSE)</f>
        <v>[BnC-3010] BnC DBS - SGD 0720280067</v>
      </c>
      <c r="J171" s="19">
        <f t="shared" si="2"/>
        <v>42935.27</v>
      </c>
    </row>
    <row r="172" spans="1:10" x14ac:dyDescent="0.45">
      <c r="A172" s="165" t="s">
        <v>363</v>
      </c>
      <c r="B172" s="165" t="s">
        <v>364</v>
      </c>
      <c r="C172" s="165" t="s">
        <v>0</v>
      </c>
      <c r="D172" s="166">
        <v>2027292.51</v>
      </c>
      <c r="E172" s="166"/>
      <c r="F172" s="166">
        <v>231285.57</v>
      </c>
      <c r="G172" s="166"/>
      <c r="I172" s="14" t="str">
        <f>VLOOKUP(A172,bnc_Map!A:C,3,FALSE)</f>
        <v>[BnC-3010] BnC Ocbc - SGD 687239491001</v>
      </c>
      <c r="J172" s="19">
        <f t="shared" si="2"/>
        <v>2027292.51</v>
      </c>
    </row>
    <row r="173" spans="1:10" x14ac:dyDescent="0.45">
      <c r="A173" s="165" t="s">
        <v>365</v>
      </c>
      <c r="B173" s="165" t="s">
        <v>366</v>
      </c>
      <c r="C173" s="165" t="s">
        <v>0</v>
      </c>
      <c r="D173" s="166">
        <v>170535.07</v>
      </c>
      <c r="E173" s="166"/>
      <c r="F173" s="166">
        <v>13549.1</v>
      </c>
      <c r="G173" s="166"/>
      <c r="I173" s="14" t="str">
        <f>VLOOKUP(A173,bnc_Map!A:C,3,FALSE)</f>
        <v>[BnC-3010] BnC Paypal Account</v>
      </c>
      <c r="J173" s="19">
        <f t="shared" si="2"/>
        <v>170535.07</v>
      </c>
    </row>
    <row r="174" spans="1:10" x14ac:dyDescent="0.45">
      <c r="A174" s="165" t="s">
        <v>367</v>
      </c>
      <c r="B174" s="165" t="s">
        <v>368</v>
      </c>
      <c r="C174" s="165" t="s">
        <v>0</v>
      </c>
      <c r="D174" s="166">
        <v>26399.16</v>
      </c>
      <c r="E174" s="166"/>
      <c r="F174" s="166">
        <v>4375.16</v>
      </c>
      <c r="G174" s="166"/>
      <c r="I174" s="14" t="str">
        <f>VLOOKUP(A174,bnc_Map!A:C,3,FALSE)</f>
        <v>[BnC-3010] BnC Paypal Account</v>
      </c>
      <c r="J174" s="19">
        <f t="shared" si="2"/>
        <v>26399.16</v>
      </c>
    </row>
    <row r="175" spans="1:10" x14ac:dyDescent="0.45">
      <c r="A175" s="165" t="s">
        <v>369</v>
      </c>
      <c r="B175" s="165" t="s">
        <v>370</v>
      </c>
      <c r="C175" s="165" t="s">
        <v>0</v>
      </c>
      <c r="D175" s="166">
        <v>271922.59999999998</v>
      </c>
      <c r="E175" s="166"/>
      <c r="F175" s="166"/>
      <c r="G175" s="166">
        <v>67922.31</v>
      </c>
      <c r="I175" s="14" t="str">
        <f>VLOOKUP(A175,bnc_Map!A:C,3,FALSE)</f>
        <v>[BnC-3010] BnC UOB - SGD 3493328601</v>
      </c>
      <c r="J175" s="19">
        <f t="shared" si="2"/>
        <v>271922.59999999998</v>
      </c>
    </row>
    <row r="176" spans="1:10" x14ac:dyDescent="0.45">
      <c r="A176" s="165" t="s">
        <v>371</v>
      </c>
      <c r="B176" s="165" t="s">
        <v>372</v>
      </c>
      <c r="C176" s="165" t="s">
        <v>0</v>
      </c>
      <c r="D176" s="166">
        <v>15686.2</v>
      </c>
      <c r="E176" s="166"/>
      <c r="F176" s="166"/>
      <c r="G176" s="166"/>
      <c r="I176" s="14" t="str">
        <f>VLOOKUP(A176,bnc_Map!A:C,3,FALSE)</f>
        <v>[BnC-3020] BnC Deposit</v>
      </c>
      <c r="J176" s="19">
        <f t="shared" si="2"/>
        <v>15686.2</v>
      </c>
    </row>
    <row r="177" spans="1:10" x14ac:dyDescent="0.45">
      <c r="A177" s="165" t="s">
        <v>373</v>
      </c>
      <c r="B177" s="165" t="s">
        <v>374</v>
      </c>
      <c r="C177" s="165" t="s">
        <v>0</v>
      </c>
      <c r="D177" s="166">
        <v>388632.71</v>
      </c>
      <c r="E177" s="166"/>
      <c r="F177" s="166"/>
      <c r="G177" s="166">
        <v>40033.86</v>
      </c>
      <c r="I177" s="14" t="str">
        <f>VLOOKUP(A177,bnc_Map!A:C,3,FALSE)</f>
        <v>[BnC-3020] BnC Prepayment</v>
      </c>
      <c r="J177" s="19">
        <f t="shared" si="2"/>
        <v>388632.71</v>
      </c>
    </row>
    <row r="178" spans="1:10" x14ac:dyDescent="0.45">
      <c r="A178" s="165" t="s">
        <v>375</v>
      </c>
      <c r="B178" s="165" t="s">
        <v>376</v>
      </c>
      <c r="C178" s="165" t="s">
        <v>0</v>
      </c>
      <c r="D178" s="166">
        <v>1918.64</v>
      </c>
      <c r="E178" s="166"/>
      <c r="F178" s="166"/>
      <c r="G178" s="166"/>
      <c r="I178" s="14" t="str">
        <f>VLOOKUP(A178,bnc_Map!A:C,3,FALSE)</f>
        <v>[BnC-3020] BnC Amount Owing By B&amp;C Msia</v>
      </c>
      <c r="J178" s="19">
        <f t="shared" si="2"/>
        <v>1918.64</v>
      </c>
    </row>
    <row r="179" spans="1:10" x14ac:dyDescent="0.45">
      <c r="A179" s="165" t="s">
        <v>377</v>
      </c>
      <c r="B179" s="165" t="s">
        <v>378</v>
      </c>
      <c r="C179" s="165" t="s">
        <v>0</v>
      </c>
      <c r="D179" s="166">
        <v>17100</v>
      </c>
      <c r="E179" s="166"/>
      <c r="F179" s="166"/>
      <c r="G179" s="166">
        <v>2850</v>
      </c>
      <c r="I179" s="14" t="str">
        <f>VLOOKUP(A179,bnc_Map!A:C,3,FALSE)</f>
        <v>[BnC-3020] BnC Deposit</v>
      </c>
      <c r="J179" s="19">
        <f t="shared" si="2"/>
        <v>17100</v>
      </c>
    </row>
    <row r="180" spans="1:10" x14ac:dyDescent="0.45">
      <c r="A180" s="165" t="s">
        <v>379</v>
      </c>
      <c r="B180" s="165" t="s">
        <v>380</v>
      </c>
      <c r="C180" s="165" t="s">
        <v>0</v>
      </c>
      <c r="D180" s="166">
        <v>543985.85</v>
      </c>
      <c r="E180" s="166"/>
      <c r="F180" s="166"/>
      <c r="G180" s="166"/>
      <c r="I180" s="14" t="str">
        <f>VLOOKUP(A180,bnc_Map!A:C,3,FALSE)</f>
        <v>[BnC-3020] BnC Deposit</v>
      </c>
      <c r="J180" s="19">
        <f t="shared" si="2"/>
        <v>543985.85</v>
      </c>
    </row>
    <row r="181" spans="1:10" x14ac:dyDescent="0.45">
      <c r="A181" s="165" t="s">
        <v>381</v>
      </c>
      <c r="B181" s="165" t="s">
        <v>382</v>
      </c>
      <c r="C181" s="165" t="s">
        <v>0</v>
      </c>
      <c r="D181" s="166">
        <v>3000</v>
      </c>
      <c r="E181" s="166"/>
      <c r="F181" s="166"/>
      <c r="G181" s="166">
        <v>2390</v>
      </c>
      <c r="I181" s="14" t="str">
        <f>VLOOKUP(A181,bnc_Map!A:C,3,FALSE)</f>
        <v>[BnC-3020] BnC Deposit</v>
      </c>
      <c r="J181" s="19">
        <f t="shared" si="2"/>
        <v>3000</v>
      </c>
    </row>
    <row r="182" spans="1:10" x14ac:dyDescent="0.45">
      <c r="A182" s="165" t="s">
        <v>385</v>
      </c>
      <c r="B182" s="165" t="s">
        <v>386</v>
      </c>
      <c r="C182" s="165" t="s">
        <v>0</v>
      </c>
      <c r="D182" s="166">
        <v>148122.70000000001</v>
      </c>
      <c r="E182" s="166"/>
      <c r="F182" s="166"/>
      <c r="G182" s="166"/>
      <c r="I182" s="14" t="str">
        <f>VLOOKUP(A182,bnc_Map!A:C,3,FALSE)</f>
        <v>[BnC-3031] BnC Right Of Use</v>
      </c>
      <c r="J182" s="19">
        <f t="shared" si="2"/>
        <v>148122.70000000001</v>
      </c>
    </row>
    <row r="183" spans="1:10" x14ac:dyDescent="0.45">
      <c r="A183" s="165" t="s">
        <v>387</v>
      </c>
      <c r="B183" s="165" t="s">
        <v>388</v>
      </c>
      <c r="C183" s="165" t="s">
        <v>0</v>
      </c>
      <c r="D183" s="166">
        <v>314571.38</v>
      </c>
      <c r="E183" s="166"/>
      <c r="F183" s="166"/>
      <c r="G183" s="166"/>
      <c r="I183" s="14" t="str">
        <f>VLOOKUP(A183,bnc_Map!A:C,3,FALSE)</f>
        <v>[BnC-3031] BnC Right Of Use</v>
      </c>
      <c r="J183" s="19">
        <f t="shared" si="2"/>
        <v>314571.38</v>
      </c>
    </row>
    <row r="184" spans="1:10" x14ac:dyDescent="0.45">
      <c r="A184" s="165" t="s">
        <v>389</v>
      </c>
      <c r="B184" s="165" t="s">
        <v>390</v>
      </c>
      <c r="C184" s="165" t="s">
        <v>0</v>
      </c>
      <c r="D184" s="166">
        <v>7469.37</v>
      </c>
      <c r="E184" s="166"/>
      <c r="F184" s="166"/>
      <c r="G184" s="166"/>
      <c r="I184" s="14" t="str">
        <f>VLOOKUP(A184,bnc_Map!A:C,3,FALSE)</f>
        <v>[BnC-3031] BnC Right Of Use</v>
      </c>
      <c r="J184" s="19">
        <f t="shared" si="2"/>
        <v>7469.37</v>
      </c>
    </row>
    <row r="185" spans="1:10" x14ac:dyDescent="0.45">
      <c r="A185" s="165" t="s">
        <v>391</v>
      </c>
      <c r="B185" s="165" t="s">
        <v>392</v>
      </c>
      <c r="C185" s="165" t="s">
        <v>0</v>
      </c>
      <c r="D185" s="166">
        <v>502571.24</v>
      </c>
      <c r="E185" s="166"/>
      <c r="F185" s="166"/>
      <c r="G185" s="166"/>
      <c r="I185" s="14" t="str">
        <f>VLOOKUP(A185,bnc_Map!A:C,3,FALSE)</f>
        <v>[BnC-3031] BnC Right Of Use</v>
      </c>
      <c r="J185" s="19">
        <f t="shared" si="2"/>
        <v>502571.24</v>
      </c>
    </row>
    <row r="186" spans="1:10" x14ac:dyDescent="0.45">
      <c r="A186" s="165" t="s">
        <v>393</v>
      </c>
      <c r="B186" s="165" t="s">
        <v>394</v>
      </c>
      <c r="C186" s="165" t="s">
        <v>0</v>
      </c>
      <c r="D186" s="166">
        <v>40283.46</v>
      </c>
      <c r="E186" s="166"/>
      <c r="F186" s="166"/>
      <c r="G186" s="166"/>
      <c r="I186" s="14" t="str">
        <f>VLOOKUP(A186,bnc_Map!A:C,3,FALSE)</f>
        <v>[BnC-3031] BnC Right Of Use</v>
      </c>
      <c r="J186" s="19">
        <f t="shared" si="2"/>
        <v>40283.46</v>
      </c>
    </row>
    <row r="187" spans="1:10" x14ac:dyDescent="0.45">
      <c r="A187" s="165" t="s">
        <v>395</v>
      </c>
      <c r="B187" s="165" t="s">
        <v>396</v>
      </c>
      <c r="C187" s="165" t="s">
        <v>0</v>
      </c>
      <c r="D187" s="166">
        <v>447725.79</v>
      </c>
      <c r="E187" s="166"/>
      <c r="F187" s="166"/>
      <c r="G187" s="166"/>
      <c r="I187" s="14" t="str">
        <f>VLOOKUP(A187,bnc_Map!A:C,3,FALSE)</f>
        <v>[BnC-3031] BnC Right Of Use</v>
      </c>
      <c r="J187" s="19">
        <f t="shared" si="2"/>
        <v>447725.79</v>
      </c>
    </row>
    <row r="188" spans="1:10" x14ac:dyDescent="0.45">
      <c r="A188" s="165" t="s">
        <v>397</v>
      </c>
      <c r="B188" s="165" t="s">
        <v>398</v>
      </c>
      <c r="C188" s="165" t="s">
        <v>0</v>
      </c>
      <c r="D188" s="166">
        <v>175181.95</v>
      </c>
      <c r="E188" s="166"/>
      <c r="F188" s="166"/>
      <c r="G188" s="166"/>
      <c r="I188" s="14" t="str">
        <f>VLOOKUP(A188,bnc_Map!A:C,3,FALSE)</f>
        <v>[BnC-3031] BnC Right Of Use</v>
      </c>
      <c r="J188" s="19">
        <f t="shared" si="2"/>
        <v>175181.95</v>
      </c>
    </row>
    <row r="189" spans="1:10" x14ac:dyDescent="0.45">
      <c r="A189" s="165" t="s">
        <v>399</v>
      </c>
      <c r="B189" s="165" t="s">
        <v>400</v>
      </c>
      <c r="C189" s="165" t="s">
        <v>0</v>
      </c>
      <c r="D189" s="166">
        <v>279486.08000000002</v>
      </c>
      <c r="E189" s="166"/>
      <c r="F189" s="166"/>
      <c r="G189" s="166"/>
      <c r="I189" s="14" t="str">
        <f>VLOOKUP(A189,bnc_Map!A:C,3,FALSE)</f>
        <v>[BnC-3031] BnC Right Of Use</v>
      </c>
      <c r="J189" s="19">
        <f t="shared" si="2"/>
        <v>279486.08000000002</v>
      </c>
    </row>
    <row r="190" spans="1:10" x14ac:dyDescent="0.45">
      <c r="A190" s="165" t="s">
        <v>401</v>
      </c>
      <c r="B190" s="165" t="s">
        <v>402</v>
      </c>
      <c r="C190" s="165" t="s">
        <v>0</v>
      </c>
      <c r="D190" s="166">
        <v>105787.35</v>
      </c>
      <c r="E190" s="166"/>
      <c r="F190" s="166"/>
      <c r="G190" s="166"/>
      <c r="I190" s="14" t="str">
        <f>VLOOKUP(A190,bnc_Map!A:C,3,FALSE)</f>
        <v>[BnC-3031] BnC Right Of Use</v>
      </c>
      <c r="J190" s="19">
        <f t="shared" si="2"/>
        <v>105787.35</v>
      </c>
    </row>
    <row r="191" spans="1:10" x14ac:dyDescent="0.45">
      <c r="A191" s="165" t="s">
        <v>403</v>
      </c>
      <c r="B191" s="165" t="s">
        <v>404</v>
      </c>
      <c r="C191" s="165" t="s">
        <v>0</v>
      </c>
      <c r="D191" s="166">
        <v>588196.38</v>
      </c>
      <c r="E191" s="166"/>
      <c r="F191" s="166"/>
      <c r="G191" s="166"/>
      <c r="I191" s="14" t="str">
        <f>VLOOKUP(A191,bnc_Map!A:C,3,FALSE)</f>
        <v>[BnC-3031] BnC Right Of Use</v>
      </c>
      <c r="J191" s="19">
        <f t="shared" si="2"/>
        <v>588196.38</v>
      </c>
    </row>
    <row r="192" spans="1:10" x14ac:dyDescent="0.45">
      <c r="A192" s="165" t="s">
        <v>405</v>
      </c>
      <c r="B192" s="165" t="s">
        <v>406</v>
      </c>
      <c r="C192" s="165" t="s">
        <v>0</v>
      </c>
      <c r="D192" s="166">
        <v>148140.07</v>
      </c>
      <c r="E192" s="166"/>
      <c r="F192" s="166"/>
      <c r="G192" s="166"/>
      <c r="I192" s="14" t="str">
        <f>VLOOKUP(A192,bnc_Map!A:C,3,FALSE)</f>
        <v>[BnC-3031] BnC Right Of Use</v>
      </c>
      <c r="J192" s="19">
        <f t="shared" si="2"/>
        <v>148140.07</v>
      </c>
    </row>
    <row r="193" spans="1:10" x14ac:dyDescent="0.45">
      <c r="A193" s="165" t="s">
        <v>407</v>
      </c>
      <c r="B193" s="165" t="s">
        <v>408</v>
      </c>
      <c r="C193" s="165" t="s">
        <v>0</v>
      </c>
      <c r="D193" s="166">
        <v>13161.94</v>
      </c>
      <c r="E193" s="166"/>
      <c r="F193" s="166"/>
      <c r="G193" s="166"/>
      <c r="I193" s="14" t="str">
        <f>VLOOKUP(A193,bnc_Map!A:C,3,FALSE)</f>
        <v>[BnC-3031] BnC Right Of Use</v>
      </c>
      <c r="J193" s="19">
        <f t="shared" si="2"/>
        <v>13161.94</v>
      </c>
    </row>
    <row r="194" spans="1:10" x14ac:dyDescent="0.45">
      <c r="A194" s="165" t="s">
        <v>409</v>
      </c>
      <c r="B194" s="165" t="s">
        <v>410</v>
      </c>
      <c r="C194" s="165" t="s">
        <v>0</v>
      </c>
      <c r="D194" s="166">
        <v>15323.37</v>
      </c>
      <c r="E194" s="166"/>
      <c r="F194" s="166"/>
      <c r="G194" s="166"/>
      <c r="I194" s="14" t="str">
        <f>VLOOKUP(A194,bnc_Map!A:C,3,FALSE)</f>
        <v>[BnC-3031] BnC Right Of Use</v>
      </c>
      <c r="J194" s="19">
        <f t="shared" si="2"/>
        <v>15323.37</v>
      </c>
    </row>
    <row r="195" spans="1:10" x14ac:dyDescent="0.45">
      <c r="A195" s="165" t="s">
        <v>411</v>
      </c>
      <c r="B195" s="165" t="s">
        <v>412</v>
      </c>
      <c r="C195" s="165" t="s">
        <v>0</v>
      </c>
      <c r="D195" s="166">
        <v>111992.03</v>
      </c>
      <c r="E195" s="166"/>
      <c r="F195" s="166"/>
      <c r="G195" s="166"/>
      <c r="I195" s="14" t="str">
        <f>VLOOKUP(A195,bnc_Map!A:C,3,FALSE)</f>
        <v>[BnC-3060] BnC Closing Stock</v>
      </c>
      <c r="J195" s="19">
        <f t="shared" si="2"/>
        <v>111992.03</v>
      </c>
    </row>
    <row r="196" spans="1:10" x14ac:dyDescent="0.45">
      <c r="A196" s="165" t="s">
        <v>413</v>
      </c>
      <c r="B196" s="165" t="s">
        <v>414</v>
      </c>
      <c r="C196" s="165" t="s">
        <v>0</v>
      </c>
      <c r="D196" s="166">
        <v>41445.480000000003</v>
      </c>
      <c r="E196" s="166"/>
      <c r="F196" s="166">
        <v>41643.47</v>
      </c>
      <c r="G196" s="166"/>
      <c r="I196" s="14" t="str">
        <f>VLOOKUP(A196,bnc_Map!A:C,3,FALSE)</f>
        <v>[BnC-3090] BnC GST Input Tax</v>
      </c>
      <c r="J196" s="19">
        <f t="shared" si="2"/>
        <v>41445.480000000003</v>
      </c>
    </row>
    <row r="197" spans="1:10" x14ac:dyDescent="0.45">
      <c r="A197" s="165" t="s">
        <v>415</v>
      </c>
      <c r="B197" s="165" t="s">
        <v>416</v>
      </c>
      <c r="C197" s="165" t="s">
        <v>0</v>
      </c>
      <c r="D197" s="166"/>
      <c r="E197" s="166">
        <v>476401.85</v>
      </c>
      <c r="F197" s="166">
        <v>8922.94</v>
      </c>
      <c r="G197" s="166"/>
      <c r="I197" s="14" t="str">
        <f>VLOOKUP(A197,bnc_Map!A:C,3,FALSE)</f>
        <v>[BnC-4000] BnC Trade Payables</v>
      </c>
      <c r="J197" s="19">
        <f t="shared" si="2"/>
        <v>-476401.85</v>
      </c>
    </row>
    <row r="198" spans="1:10" x14ac:dyDescent="0.45">
      <c r="A198" s="165" t="s">
        <v>417</v>
      </c>
      <c r="B198" s="165" t="s">
        <v>418</v>
      </c>
      <c r="C198" s="165" t="s">
        <v>0</v>
      </c>
      <c r="D198" s="166"/>
      <c r="E198" s="166">
        <v>2008.38</v>
      </c>
      <c r="F198" s="166">
        <v>12991.62</v>
      </c>
      <c r="G198" s="166"/>
      <c r="I198" s="14" t="str">
        <f>VLOOKUP(A198,bnc_Map!A:C,3,FALSE)</f>
        <v>[BnC-4010] BnC Accrual</v>
      </c>
      <c r="J198" s="19">
        <f t="shared" ref="J198:J261" si="3">D198-E198</f>
        <v>-2008.38</v>
      </c>
    </row>
    <row r="199" spans="1:10" x14ac:dyDescent="0.45">
      <c r="A199" s="165" t="s">
        <v>419</v>
      </c>
      <c r="B199" s="165" t="s">
        <v>420</v>
      </c>
      <c r="C199" s="165" t="s">
        <v>0</v>
      </c>
      <c r="D199" s="166"/>
      <c r="E199" s="166">
        <v>87792.79</v>
      </c>
      <c r="F199" s="166">
        <v>153.68</v>
      </c>
      <c r="G199" s="166"/>
      <c r="I199" s="14" t="str">
        <f>VLOOKUP(A199,bnc_Map!A:C,3,FALSE)</f>
        <v>[BnC-4010] BnC CPF Payables</v>
      </c>
      <c r="J199" s="19">
        <f t="shared" si="3"/>
        <v>-87792.79</v>
      </c>
    </row>
    <row r="200" spans="1:10" x14ac:dyDescent="0.45">
      <c r="A200" s="165" t="s">
        <v>421</v>
      </c>
      <c r="B200" s="165" t="s">
        <v>422</v>
      </c>
      <c r="C200" s="165" t="s">
        <v>0</v>
      </c>
      <c r="D200" s="166"/>
      <c r="E200" s="166">
        <v>120</v>
      </c>
      <c r="F200" s="166"/>
      <c r="G200" s="166"/>
      <c r="I200" s="14" t="str">
        <f>VLOOKUP(A200,bnc_Map!A:C,3,FALSE)</f>
        <v>[BnC-3020] BnC Deposit Received</v>
      </c>
      <c r="J200" s="19">
        <f t="shared" si="3"/>
        <v>-120</v>
      </c>
    </row>
    <row r="201" spans="1:10" x14ac:dyDescent="0.45">
      <c r="A201" s="165" t="s">
        <v>423</v>
      </c>
      <c r="B201" s="165" t="s">
        <v>424</v>
      </c>
      <c r="C201" s="165" t="s">
        <v>0</v>
      </c>
      <c r="D201" s="166"/>
      <c r="E201" s="166">
        <v>155522.96</v>
      </c>
      <c r="F201" s="166"/>
      <c r="G201" s="166"/>
      <c r="I201" s="14" t="str">
        <f>VLOOKUP(A201,bnc_Map!A:C,3,FALSE)</f>
        <v>[BnC-4011] BnC Lease Liability</v>
      </c>
      <c r="J201" s="19">
        <f t="shared" si="3"/>
        <v>-155522.96</v>
      </c>
    </row>
    <row r="202" spans="1:10" x14ac:dyDescent="0.45">
      <c r="A202" s="165" t="s">
        <v>425</v>
      </c>
      <c r="B202" s="165" t="s">
        <v>426</v>
      </c>
      <c r="C202" s="165" t="s">
        <v>0</v>
      </c>
      <c r="D202" s="166"/>
      <c r="E202" s="166">
        <v>309319.83</v>
      </c>
      <c r="F202" s="166"/>
      <c r="G202" s="166"/>
      <c r="I202" s="14" t="str">
        <f>VLOOKUP(A202,bnc_Map!A:C,3,FALSE)</f>
        <v>[BnC-4011] BnC Lease Liability</v>
      </c>
      <c r="J202" s="19">
        <f t="shared" si="3"/>
        <v>-309319.83</v>
      </c>
    </row>
    <row r="203" spans="1:10" x14ac:dyDescent="0.45">
      <c r="A203" s="165" t="s">
        <v>427</v>
      </c>
      <c r="B203" s="165" t="s">
        <v>428</v>
      </c>
      <c r="C203" s="165" t="s">
        <v>0</v>
      </c>
      <c r="D203" s="166"/>
      <c r="E203" s="166">
        <v>7469.06</v>
      </c>
      <c r="F203" s="166"/>
      <c r="G203" s="166"/>
      <c r="I203" s="14" t="str">
        <f>VLOOKUP(A203,bnc_Map!A:C,3,FALSE)</f>
        <v>[BnC-4011] BnC Lease Liability</v>
      </c>
      <c r="J203" s="19">
        <f t="shared" si="3"/>
        <v>-7469.06</v>
      </c>
    </row>
    <row r="204" spans="1:10" x14ac:dyDescent="0.45">
      <c r="A204" s="165" t="s">
        <v>429</v>
      </c>
      <c r="B204" s="165" t="s">
        <v>430</v>
      </c>
      <c r="C204" s="165" t="s">
        <v>0</v>
      </c>
      <c r="D204" s="166"/>
      <c r="E204" s="166">
        <v>502571.33</v>
      </c>
      <c r="F204" s="166"/>
      <c r="G204" s="166"/>
      <c r="I204" s="14" t="str">
        <f>VLOOKUP(A204,bnc_Map!A:C,3,FALSE)</f>
        <v>[BnC-4011] BnC Lease Liability</v>
      </c>
      <c r="J204" s="19">
        <f t="shared" si="3"/>
        <v>-502571.33</v>
      </c>
    </row>
    <row r="205" spans="1:10" x14ac:dyDescent="0.45">
      <c r="A205" s="165" t="s">
        <v>431</v>
      </c>
      <c r="B205" s="165" t="s">
        <v>432</v>
      </c>
      <c r="C205" s="165" t="s">
        <v>0</v>
      </c>
      <c r="D205" s="166"/>
      <c r="E205" s="166">
        <v>42313.97</v>
      </c>
      <c r="F205" s="166"/>
      <c r="G205" s="166"/>
      <c r="I205" s="14" t="str">
        <f>VLOOKUP(A205,bnc_Map!A:C,3,FALSE)</f>
        <v>[BnC-4011] BnC Lease Liability</v>
      </c>
      <c r="J205" s="19">
        <f t="shared" si="3"/>
        <v>-42313.97</v>
      </c>
    </row>
    <row r="206" spans="1:10" x14ac:dyDescent="0.45">
      <c r="A206" s="165" t="s">
        <v>433</v>
      </c>
      <c r="B206" s="165" t="s">
        <v>434</v>
      </c>
      <c r="C206" s="165" t="s">
        <v>0</v>
      </c>
      <c r="D206" s="166"/>
      <c r="E206" s="166">
        <v>451531.32</v>
      </c>
      <c r="F206" s="166"/>
      <c r="G206" s="166"/>
      <c r="I206" s="14" t="str">
        <f>VLOOKUP(A206,bnc_Map!A:C,3,FALSE)</f>
        <v>[BnC-4011] BnC Lease Liability</v>
      </c>
      <c r="J206" s="19">
        <f t="shared" si="3"/>
        <v>-451531.32</v>
      </c>
    </row>
    <row r="207" spans="1:10" x14ac:dyDescent="0.45">
      <c r="A207" s="165" t="s">
        <v>435</v>
      </c>
      <c r="B207" s="165" t="s">
        <v>436</v>
      </c>
      <c r="C207" s="165" t="s">
        <v>0</v>
      </c>
      <c r="D207" s="166"/>
      <c r="E207" s="166">
        <v>184445.13</v>
      </c>
      <c r="F207" s="166"/>
      <c r="G207" s="166"/>
      <c r="I207" s="14" t="str">
        <f>VLOOKUP(A207,bnc_Map!A:C,3,FALSE)</f>
        <v>[BnC-4011] BnC Lease Liability</v>
      </c>
      <c r="J207" s="19">
        <f t="shared" si="3"/>
        <v>-184445.13</v>
      </c>
    </row>
    <row r="208" spans="1:10" x14ac:dyDescent="0.45">
      <c r="A208" s="165" t="s">
        <v>437</v>
      </c>
      <c r="B208" s="165" t="s">
        <v>438</v>
      </c>
      <c r="C208" s="165" t="s">
        <v>0</v>
      </c>
      <c r="D208" s="166"/>
      <c r="E208" s="166">
        <v>285230.48</v>
      </c>
      <c r="F208" s="166"/>
      <c r="G208" s="166"/>
      <c r="I208" s="14" t="str">
        <f>VLOOKUP(A208,bnc_Map!A:C,3,FALSE)</f>
        <v>[BnC-4011] BnC Lease Liability</v>
      </c>
      <c r="J208" s="19">
        <f t="shared" si="3"/>
        <v>-285230.48</v>
      </c>
    </row>
    <row r="209" spans="1:10" x14ac:dyDescent="0.45">
      <c r="A209" s="165" t="s">
        <v>439</v>
      </c>
      <c r="B209" s="165" t="s">
        <v>440</v>
      </c>
      <c r="C209" s="165" t="s">
        <v>0</v>
      </c>
      <c r="D209" s="166"/>
      <c r="E209" s="166">
        <v>111076.23</v>
      </c>
      <c r="F209" s="166"/>
      <c r="G209" s="166"/>
      <c r="I209" s="14" t="str">
        <f>VLOOKUP(A209,bnc_Map!A:C,3,FALSE)</f>
        <v>[BnC-4011] BnC Lease Liability</v>
      </c>
      <c r="J209" s="19">
        <f t="shared" si="3"/>
        <v>-111076.23</v>
      </c>
    </row>
    <row r="210" spans="1:10" x14ac:dyDescent="0.45">
      <c r="A210" s="165" t="s">
        <v>441</v>
      </c>
      <c r="B210" s="165" t="s">
        <v>442</v>
      </c>
      <c r="C210" s="165" t="s">
        <v>0</v>
      </c>
      <c r="D210" s="166"/>
      <c r="E210" s="166">
        <v>616016.31000000006</v>
      </c>
      <c r="F210" s="166"/>
      <c r="G210" s="166"/>
      <c r="I210" s="14" t="str">
        <f>VLOOKUP(A210,bnc_Map!A:C,3,FALSE)</f>
        <v>[BnC-4011] BnC Lease Liability</v>
      </c>
      <c r="J210" s="19">
        <f t="shared" si="3"/>
        <v>-616016.31000000006</v>
      </c>
    </row>
    <row r="211" spans="1:10" x14ac:dyDescent="0.45">
      <c r="A211" s="165" t="s">
        <v>443</v>
      </c>
      <c r="B211" s="165" t="s">
        <v>444</v>
      </c>
      <c r="C211" s="165" t="s">
        <v>0</v>
      </c>
      <c r="D211" s="166"/>
      <c r="E211" s="166">
        <v>155535.32999999999</v>
      </c>
      <c r="F211" s="166"/>
      <c r="G211" s="166"/>
      <c r="I211" s="14" t="str">
        <f>VLOOKUP(A211,bnc_Map!A:C,3,FALSE)</f>
        <v>[BnC-4011] BnC Lease Liability</v>
      </c>
      <c r="J211" s="19">
        <f t="shared" si="3"/>
        <v>-155535.32999999999</v>
      </c>
    </row>
    <row r="212" spans="1:10" x14ac:dyDescent="0.45">
      <c r="A212" s="165" t="s">
        <v>445</v>
      </c>
      <c r="B212" s="165" t="s">
        <v>446</v>
      </c>
      <c r="C212" s="165" t="s">
        <v>0</v>
      </c>
      <c r="D212" s="166"/>
      <c r="E212" s="166">
        <v>13827.14</v>
      </c>
      <c r="F212" s="166"/>
      <c r="G212" s="166"/>
      <c r="I212" s="14" t="str">
        <f>VLOOKUP(A212,bnc_Map!A:C,3,FALSE)</f>
        <v>[BnC-4011] BnC Lease Liability</v>
      </c>
      <c r="J212" s="19">
        <f t="shared" si="3"/>
        <v>-13827.14</v>
      </c>
    </row>
    <row r="213" spans="1:10" x14ac:dyDescent="0.45">
      <c r="A213" s="165" t="s">
        <v>447</v>
      </c>
      <c r="B213" s="165" t="s">
        <v>448</v>
      </c>
      <c r="C213" s="165" t="s">
        <v>0</v>
      </c>
      <c r="D213" s="166"/>
      <c r="E213" s="166">
        <v>17521.849999999999</v>
      </c>
      <c r="F213" s="166"/>
      <c r="G213" s="166"/>
      <c r="I213" s="14" t="str">
        <f>VLOOKUP(A213,bnc_Map!A:C,3,FALSE)</f>
        <v>[BnC-4011] BnC Lease Liability</v>
      </c>
      <c r="J213" s="19">
        <f t="shared" si="3"/>
        <v>-17521.849999999999</v>
      </c>
    </row>
    <row r="214" spans="1:10" x14ac:dyDescent="0.45">
      <c r="A214" s="165" t="s">
        <v>449</v>
      </c>
      <c r="B214" s="165" t="s">
        <v>450</v>
      </c>
      <c r="C214" s="165" t="s">
        <v>0</v>
      </c>
      <c r="D214" s="166"/>
      <c r="E214" s="166">
        <v>2504246.58</v>
      </c>
      <c r="F214" s="166"/>
      <c r="G214" s="166">
        <v>136.99</v>
      </c>
      <c r="I214" s="14" t="str">
        <f>VLOOKUP(A214,bnc_Map!A:C,3,FALSE)</f>
        <v>[BnC-4012] BnC DBS Bridging Loan</v>
      </c>
      <c r="J214" s="19">
        <f t="shared" si="3"/>
        <v>-2504246.58</v>
      </c>
    </row>
    <row r="215" spans="1:10" x14ac:dyDescent="0.45">
      <c r="A215" s="165" t="s">
        <v>1801</v>
      </c>
      <c r="B215" s="165" t="s">
        <v>1802</v>
      </c>
      <c r="C215" s="165" t="s">
        <v>0</v>
      </c>
      <c r="D215" s="166"/>
      <c r="E215" s="166"/>
      <c r="F215" s="166">
        <v>320.5</v>
      </c>
      <c r="G215" s="166"/>
      <c r="I215" s="14" t="str">
        <f>VLOOKUP(A215,bnc_Map!A:C,3,FALSE)</f>
        <v>[BnC-4050] BnC Payroll Control</v>
      </c>
      <c r="J215" s="19">
        <f t="shared" si="3"/>
        <v>0</v>
      </c>
    </row>
    <row r="216" spans="1:10" x14ac:dyDescent="0.45">
      <c r="A216" s="165" t="s">
        <v>451</v>
      </c>
      <c r="B216" s="165" t="s">
        <v>452</v>
      </c>
      <c r="C216" s="165" t="s">
        <v>0</v>
      </c>
      <c r="D216" s="166"/>
      <c r="E216" s="166">
        <v>104</v>
      </c>
      <c r="F216" s="166">
        <v>50945.5</v>
      </c>
      <c r="G216" s="166"/>
      <c r="I216" s="14" t="str">
        <f>VLOOKUP(A216,bnc_Map!A:C,3,FALSE)</f>
        <v>[BnC-4050] BnC Payroll Control</v>
      </c>
      <c r="J216" s="19">
        <f t="shared" si="3"/>
        <v>-104</v>
      </c>
    </row>
    <row r="217" spans="1:10" x14ac:dyDescent="0.45">
      <c r="A217" s="165" t="s">
        <v>453</v>
      </c>
      <c r="B217" s="165" t="s">
        <v>454</v>
      </c>
      <c r="C217" s="165" t="s">
        <v>0</v>
      </c>
      <c r="D217" s="166"/>
      <c r="E217" s="166">
        <v>48906.25</v>
      </c>
      <c r="F217" s="166"/>
      <c r="G217" s="166">
        <v>48586.25</v>
      </c>
      <c r="I217" s="14" t="str">
        <f>VLOOKUP(A217,bnc_Map!A:C,3,FALSE)</f>
        <v>[BnC-4050] BnC Payroll Control</v>
      </c>
      <c r="J217" s="19">
        <f t="shared" si="3"/>
        <v>-48906.25</v>
      </c>
    </row>
    <row r="218" spans="1:10" x14ac:dyDescent="0.45">
      <c r="A218" s="165" t="s">
        <v>457</v>
      </c>
      <c r="B218" s="165" t="s">
        <v>458</v>
      </c>
      <c r="C218" s="165" t="s">
        <v>0</v>
      </c>
      <c r="D218" s="166"/>
      <c r="E218" s="166">
        <v>68537.289999999994</v>
      </c>
      <c r="F218" s="166">
        <v>17792.28</v>
      </c>
      <c r="G218" s="166"/>
      <c r="I218" s="14" t="str">
        <f>VLOOKUP(A218,bnc_Map!A:C,3,FALSE)</f>
        <v>[BnC-3020] BnC Deposit Received</v>
      </c>
      <c r="J218" s="19">
        <f t="shared" si="3"/>
        <v>-68537.289999999994</v>
      </c>
    </row>
    <row r="219" spans="1:10" x14ac:dyDescent="0.45">
      <c r="A219" s="165" t="s">
        <v>459</v>
      </c>
      <c r="B219" s="165" t="s">
        <v>460</v>
      </c>
      <c r="C219" s="165" t="s">
        <v>0</v>
      </c>
      <c r="D219" s="166">
        <v>120201.25</v>
      </c>
      <c r="E219" s="166"/>
      <c r="F219" s="166"/>
      <c r="G219" s="166"/>
      <c r="I219" s="14" t="str">
        <f>VLOOKUP(A219,bnc_Map!A:C,3,FALSE)</f>
        <v>[BnC-4080] BnC Provision For Taxation</v>
      </c>
      <c r="J219" s="19">
        <f t="shared" si="3"/>
        <v>120201.25</v>
      </c>
    </row>
    <row r="220" spans="1:10" x14ac:dyDescent="0.45">
      <c r="A220" s="165" t="s">
        <v>461</v>
      </c>
      <c r="B220" s="165" t="s">
        <v>462</v>
      </c>
      <c r="C220" s="165" t="s">
        <v>0</v>
      </c>
      <c r="D220" s="166"/>
      <c r="E220" s="166">
        <v>103943.76</v>
      </c>
      <c r="F220" s="166"/>
      <c r="G220" s="166">
        <v>103939.87</v>
      </c>
      <c r="I220" s="14" t="str">
        <f>VLOOKUP(A220,bnc_Map!A:C,3,FALSE)</f>
        <v>[BnC-4090] BnC GST Output Tax</v>
      </c>
      <c r="J220" s="19">
        <f t="shared" si="3"/>
        <v>-103943.76</v>
      </c>
    </row>
    <row r="221" spans="1:10" x14ac:dyDescent="0.45">
      <c r="A221" s="165" t="s">
        <v>463</v>
      </c>
      <c r="B221" s="165" t="s">
        <v>464</v>
      </c>
      <c r="C221" s="165" t="s">
        <v>0</v>
      </c>
      <c r="D221" s="166"/>
      <c r="E221" s="166">
        <v>151926.97</v>
      </c>
      <c r="F221" s="166"/>
      <c r="G221" s="166"/>
      <c r="I221" s="14" t="str">
        <f>VLOOKUP(A221,bnc_Map!A:C,3,FALSE)</f>
        <v>[BnC-4100] BnC GST Control Account</v>
      </c>
      <c r="J221" s="19">
        <f t="shared" si="3"/>
        <v>-151926.97</v>
      </c>
    </row>
    <row r="222" spans="1:10" x14ac:dyDescent="0.45">
      <c r="A222" s="165" t="s">
        <v>465</v>
      </c>
      <c r="B222" s="165" t="s">
        <v>466</v>
      </c>
      <c r="C222" s="165" t="s">
        <v>0</v>
      </c>
      <c r="D222" s="166"/>
      <c r="E222" s="166">
        <v>109021</v>
      </c>
      <c r="F222" s="166"/>
      <c r="G222" s="166"/>
      <c r="I222" s="14" t="str">
        <f>VLOOKUP(A222,bnc_Map!A:C,3,FALSE)</f>
        <v>[BnC-4200] BnC Deferred Taxation</v>
      </c>
      <c r="J222" s="19">
        <f t="shared" si="3"/>
        <v>-109021</v>
      </c>
    </row>
    <row r="223" spans="1:10" x14ac:dyDescent="0.45">
      <c r="A223" s="165" t="s">
        <v>467</v>
      </c>
      <c r="B223" s="165" t="s">
        <v>468</v>
      </c>
      <c r="C223" s="165" t="s">
        <v>0</v>
      </c>
      <c r="D223" s="166"/>
      <c r="E223" s="166">
        <v>70341</v>
      </c>
      <c r="F223" s="166">
        <v>100000</v>
      </c>
      <c r="G223" s="166"/>
      <c r="I223" s="14" t="str">
        <f>VLOOKUP(A223,bnc_Map!A:C,3,FALSE)</f>
        <v>[BnC-4300] BnC Suspense Account</v>
      </c>
      <c r="J223" s="19">
        <f t="shared" si="3"/>
        <v>-70341</v>
      </c>
    </row>
    <row r="224" spans="1:10" x14ac:dyDescent="0.45">
      <c r="A224" s="165" t="s">
        <v>469</v>
      </c>
      <c r="B224" s="165" t="s">
        <v>470</v>
      </c>
      <c r="C224" s="165" t="s">
        <v>0</v>
      </c>
      <c r="D224" s="166"/>
      <c r="E224" s="166">
        <v>1461344.69</v>
      </c>
      <c r="F224" s="166"/>
      <c r="G224" s="166">
        <v>156048.74</v>
      </c>
      <c r="I224" s="14" t="str">
        <f>VLOOKUP(A224,bnc_Map!A:C,3,FALSE)</f>
        <v>[BnC-5010] BnC Sales</v>
      </c>
      <c r="J224" s="19">
        <f t="shared" si="3"/>
        <v>-1461344.69</v>
      </c>
    </row>
    <row r="225" spans="1:10" x14ac:dyDescent="0.45">
      <c r="A225" s="165" t="s">
        <v>471</v>
      </c>
      <c r="B225" s="165" t="s">
        <v>472</v>
      </c>
      <c r="C225" s="165" t="s">
        <v>0</v>
      </c>
      <c r="D225" s="166"/>
      <c r="E225" s="166">
        <v>1694304.75</v>
      </c>
      <c r="F225" s="166"/>
      <c r="G225" s="166">
        <v>182580.62</v>
      </c>
      <c r="I225" s="14" t="str">
        <f>VLOOKUP(A225,bnc_Map!A:C,3,FALSE)</f>
        <v>[BnC-5010] BnC Sales</v>
      </c>
      <c r="J225" s="19">
        <f t="shared" si="3"/>
        <v>-1694304.75</v>
      </c>
    </row>
    <row r="226" spans="1:10" x14ac:dyDescent="0.45">
      <c r="A226" s="165" t="s">
        <v>473</v>
      </c>
      <c r="B226" s="165" t="s">
        <v>474</v>
      </c>
      <c r="C226" s="165" t="s">
        <v>0</v>
      </c>
      <c r="D226" s="166"/>
      <c r="E226" s="166">
        <v>211605.27</v>
      </c>
      <c r="F226" s="166"/>
      <c r="G226" s="166">
        <v>15794.05</v>
      </c>
      <c r="I226" s="14" t="str">
        <f>VLOOKUP(A226,bnc_Map!A:C,3,FALSE)</f>
        <v>[BnC-5010] BnC Sales</v>
      </c>
      <c r="J226" s="19">
        <f t="shared" si="3"/>
        <v>-211605.27</v>
      </c>
    </row>
    <row r="227" spans="1:10" x14ac:dyDescent="0.45">
      <c r="A227" s="165" t="s">
        <v>475</v>
      </c>
      <c r="B227" s="165" t="s">
        <v>476</v>
      </c>
      <c r="C227" s="165" t="s">
        <v>0</v>
      </c>
      <c r="D227" s="166"/>
      <c r="E227" s="166">
        <v>1973047.31</v>
      </c>
      <c r="F227" s="166"/>
      <c r="G227" s="166">
        <v>218212.78</v>
      </c>
      <c r="I227" s="14" t="str">
        <f>VLOOKUP(A227,bnc_Map!A:C,3,FALSE)</f>
        <v>[BnC-5010] BnC Sales</v>
      </c>
      <c r="J227" s="19">
        <f t="shared" si="3"/>
        <v>-1973047.31</v>
      </c>
    </row>
    <row r="228" spans="1:10" x14ac:dyDescent="0.45">
      <c r="A228" s="165" t="s">
        <v>477</v>
      </c>
      <c r="B228" s="165" t="s">
        <v>478</v>
      </c>
      <c r="C228" s="165" t="s">
        <v>0</v>
      </c>
      <c r="D228" s="166"/>
      <c r="E228" s="166">
        <v>672910.73</v>
      </c>
      <c r="F228" s="166"/>
      <c r="G228" s="166">
        <v>77463.69</v>
      </c>
      <c r="I228" s="14" t="str">
        <f>VLOOKUP(A228,bnc_Map!A:C,3,FALSE)</f>
        <v>[BnC-5010] BnC Sales</v>
      </c>
      <c r="J228" s="19">
        <f t="shared" si="3"/>
        <v>-672910.73</v>
      </c>
    </row>
    <row r="229" spans="1:10" x14ac:dyDescent="0.45">
      <c r="A229" s="165" t="s">
        <v>479</v>
      </c>
      <c r="B229" s="165" t="s">
        <v>480</v>
      </c>
      <c r="C229" s="165" t="s">
        <v>0</v>
      </c>
      <c r="D229" s="166"/>
      <c r="E229" s="166">
        <v>1278893.3400000001</v>
      </c>
      <c r="F229" s="166"/>
      <c r="G229" s="166">
        <v>136065.09</v>
      </c>
      <c r="I229" s="14" t="str">
        <f>VLOOKUP(A229,bnc_Map!A:C,3,FALSE)</f>
        <v>[BnC-5010] BnC Sales</v>
      </c>
      <c r="J229" s="19">
        <f t="shared" si="3"/>
        <v>-1278893.3400000001</v>
      </c>
    </row>
    <row r="230" spans="1:10" x14ac:dyDescent="0.45">
      <c r="A230" s="165" t="s">
        <v>481</v>
      </c>
      <c r="B230" s="165" t="s">
        <v>482</v>
      </c>
      <c r="C230" s="165" t="s">
        <v>0</v>
      </c>
      <c r="D230" s="166"/>
      <c r="E230" s="166">
        <v>253461.49</v>
      </c>
      <c r="F230" s="166"/>
      <c r="G230" s="166">
        <v>27854.5</v>
      </c>
      <c r="I230" s="14" t="str">
        <f>VLOOKUP(A230,bnc_Map!A:C,3,FALSE)</f>
        <v>[BnC-5010] BnC Sales</v>
      </c>
      <c r="J230" s="19">
        <f t="shared" si="3"/>
        <v>-253461.49</v>
      </c>
    </row>
    <row r="231" spans="1:10" x14ac:dyDescent="0.45">
      <c r="A231" s="165" t="s">
        <v>483</v>
      </c>
      <c r="B231" s="165" t="s">
        <v>484</v>
      </c>
      <c r="C231" s="165" t="s">
        <v>0</v>
      </c>
      <c r="D231" s="166"/>
      <c r="E231" s="166">
        <v>1187004.79</v>
      </c>
      <c r="F231" s="166"/>
      <c r="G231" s="166">
        <v>131450.07</v>
      </c>
      <c r="I231" s="14" t="str">
        <f>VLOOKUP(A231,bnc_Map!A:C,3,FALSE)</f>
        <v>[BnC-5010] BnC Sales</v>
      </c>
      <c r="J231" s="19">
        <f t="shared" si="3"/>
        <v>-1187004.79</v>
      </c>
    </row>
    <row r="232" spans="1:10" x14ac:dyDescent="0.45">
      <c r="A232" s="165" t="s">
        <v>485</v>
      </c>
      <c r="B232" s="165" t="s">
        <v>486</v>
      </c>
      <c r="C232" s="165" t="s">
        <v>0</v>
      </c>
      <c r="D232" s="166"/>
      <c r="E232" s="166">
        <v>1606657.37</v>
      </c>
      <c r="F232" s="166"/>
      <c r="G232" s="166">
        <v>179866.62</v>
      </c>
      <c r="I232" s="14" t="str">
        <f>VLOOKUP(A232,bnc_Map!A:C,3,FALSE)</f>
        <v>[BnC-5010] BnC Sales</v>
      </c>
      <c r="J232" s="19">
        <f t="shared" si="3"/>
        <v>-1606657.37</v>
      </c>
    </row>
    <row r="233" spans="1:10" x14ac:dyDescent="0.45">
      <c r="A233" s="165" t="s">
        <v>487</v>
      </c>
      <c r="B233" s="165" t="s">
        <v>488</v>
      </c>
      <c r="C233" s="165" t="s">
        <v>0</v>
      </c>
      <c r="D233" s="166"/>
      <c r="E233" s="166">
        <v>2276650.7200000002</v>
      </c>
      <c r="F233" s="166"/>
      <c r="G233" s="166">
        <v>218621.51</v>
      </c>
      <c r="I233" s="14" t="str">
        <f>VLOOKUP(A233,bnc_Map!A:C,3,FALSE)</f>
        <v>[BnC-5010] BnC Sales</v>
      </c>
      <c r="J233" s="19">
        <f t="shared" si="3"/>
        <v>-2276650.7200000002</v>
      </c>
    </row>
    <row r="234" spans="1:10" x14ac:dyDescent="0.45">
      <c r="A234" s="165" t="s">
        <v>489</v>
      </c>
      <c r="B234" s="165" t="s">
        <v>490</v>
      </c>
      <c r="C234" s="165" t="s">
        <v>0</v>
      </c>
      <c r="D234" s="166"/>
      <c r="E234" s="166">
        <v>841129.41</v>
      </c>
      <c r="F234" s="166"/>
      <c r="G234" s="166">
        <v>100756.69</v>
      </c>
      <c r="I234" s="14" t="str">
        <f>VLOOKUP(A234,bnc_Map!A:C,3,FALSE)</f>
        <v>[BnC-5010] BnC Sales</v>
      </c>
      <c r="J234" s="19">
        <f t="shared" si="3"/>
        <v>-841129.41</v>
      </c>
    </row>
    <row r="235" spans="1:10" x14ac:dyDescent="0.45">
      <c r="A235" s="165" t="s">
        <v>493</v>
      </c>
      <c r="B235" s="165" t="s">
        <v>494</v>
      </c>
      <c r="C235" s="165" t="s">
        <v>0</v>
      </c>
      <c r="D235" s="166"/>
      <c r="E235" s="166">
        <v>47774.12</v>
      </c>
      <c r="F235" s="166"/>
      <c r="G235" s="166">
        <v>5250.84</v>
      </c>
      <c r="I235" s="14" t="str">
        <f>VLOOKUP(A235,bnc_Map!A:C,3,FALSE)</f>
        <v>[BnC-5010] BnC Sales</v>
      </c>
      <c r="J235" s="19">
        <f t="shared" si="3"/>
        <v>-47774.12</v>
      </c>
    </row>
    <row r="236" spans="1:10" x14ac:dyDescent="0.45">
      <c r="A236" s="165" t="s">
        <v>495</v>
      </c>
      <c r="B236" s="165" t="s">
        <v>496</v>
      </c>
      <c r="C236" s="165" t="s">
        <v>0</v>
      </c>
      <c r="D236" s="166"/>
      <c r="E236" s="166">
        <v>32219.67</v>
      </c>
      <c r="F236" s="166"/>
      <c r="G236" s="166">
        <v>2076.17</v>
      </c>
      <c r="I236" s="14" t="str">
        <f>VLOOKUP(A236,bnc_Map!A:C,3,FALSE)</f>
        <v>[BnC-5010] BnC Sales</v>
      </c>
      <c r="J236" s="19">
        <f t="shared" si="3"/>
        <v>-32219.67</v>
      </c>
    </row>
    <row r="237" spans="1:10" x14ac:dyDescent="0.45">
      <c r="A237" s="165" t="s">
        <v>497</v>
      </c>
      <c r="B237" s="165" t="s">
        <v>498</v>
      </c>
      <c r="C237" s="165" t="s">
        <v>0</v>
      </c>
      <c r="D237" s="166"/>
      <c r="E237" s="166">
        <v>397312.54</v>
      </c>
      <c r="F237" s="166"/>
      <c r="G237" s="166">
        <v>39402.120000000003</v>
      </c>
      <c r="I237" s="14" t="str">
        <f>VLOOKUP(A237,bnc_Map!A:C,3,FALSE)</f>
        <v>[BnC-5010] BnC Sales</v>
      </c>
      <c r="J237" s="19">
        <f t="shared" si="3"/>
        <v>-397312.54</v>
      </c>
    </row>
    <row r="238" spans="1:10" x14ac:dyDescent="0.45">
      <c r="A238" s="165" t="s">
        <v>499</v>
      </c>
      <c r="B238" s="165" t="s">
        <v>500</v>
      </c>
      <c r="C238" s="165" t="s">
        <v>0</v>
      </c>
      <c r="D238" s="166"/>
      <c r="E238" s="166">
        <v>73921.37</v>
      </c>
      <c r="F238" s="166"/>
      <c r="G238" s="166">
        <v>12114.39</v>
      </c>
      <c r="I238" s="14" t="str">
        <f>VLOOKUP(A238,bnc_Map!A:C,3,FALSE)</f>
        <v>[BnC-5010] BnC Sales</v>
      </c>
      <c r="J238" s="19">
        <f t="shared" si="3"/>
        <v>-73921.37</v>
      </c>
    </row>
    <row r="239" spans="1:10" x14ac:dyDescent="0.45">
      <c r="A239" s="165" t="s">
        <v>501</v>
      </c>
      <c r="B239" s="165" t="s">
        <v>502</v>
      </c>
      <c r="C239" s="165" t="s">
        <v>0</v>
      </c>
      <c r="D239" s="166"/>
      <c r="E239" s="166">
        <v>483540.4</v>
      </c>
      <c r="F239" s="166"/>
      <c r="G239" s="166">
        <v>100367.41</v>
      </c>
      <c r="I239" s="14" t="str">
        <f>VLOOKUP(A239,bnc_Map!A:C,3,FALSE)</f>
        <v>[BnC-5100] BnC Other Income</v>
      </c>
      <c r="J239" s="19">
        <f t="shared" si="3"/>
        <v>-483540.4</v>
      </c>
    </row>
    <row r="240" spans="1:10" x14ac:dyDescent="0.45">
      <c r="A240" s="165" t="s">
        <v>503</v>
      </c>
      <c r="B240" s="165" t="s">
        <v>504</v>
      </c>
      <c r="C240" s="165" t="s">
        <v>0</v>
      </c>
      <c r="D240" s="166"/>
      <c r="E240" s="166">
        <v>108935.26</v>
      </c>
      <c r="F240" s="166"/>
      <c r="G240" s="166">
        <v>11159.44</v>
      </c>
      <c r="I240" s="14" t="str">
        <f>VLOOKUP(A240,bnc_Map!A:C,3,FALSE)</f>
        <v>[BnC-5100] BnC Royalty Income - Swissbake</v>
      </c>
      <c r="J240" s="19">
        <f t="shared" si="3"/>
        <v>-108935.26</v>
      </c>
    </row>
    <row r="241" spans="1:10" x14ac:dyDescent="0.45">
      <c r="A241" s="165" t="s">
        <v>505</v>
      </c>
      <c r="B241" s="165" t="s">
        <v>506</v>
      </c>
      <c r="C241" s="165" t="s">
        <v>0</v>
      </c>
      <c r="D241" s="166"/>
      <c r="E241" s="166">
        <v>140407.71</v>
      </c>
      <c r="F241" s="166"/>
      <c r="G241" s="166">
        <v>10019.81</v>
      </c>
      <c r="I241" s="14" t="str">
        <f>VLOOKUP(A241,bnc_Map!A:C,3,FALSE)</f>
        <v>[BnC-5100] BnC Rental Rebate</v>
      </c>
      <c r="J241" s="19">
        <f t="shared" si="3"/>
        <v>-140407.71</v>
      </c>
    </row>
    <row r="242" spans="1:10" x14ac:dyDescent="0.45">
      <c r="A242" s="165" t="s">
        <v>507</v>
      </c>
      <c r="B242" s="165" t="s">
        <v>508</v>
      </c>
      <c r="C242" s="165" t="s">
        <v>0</v>
      </c>
      <c r="D242" s="166"/>
      <c r="E242" s="166">
        <v>7090.08</v>
      </c>
      <c r="F242" s="166"/>
      <c r="G242" s="166"/>
      <c r="I242" s="14" t="str">
        <f>VLOOKUP(A242,bnc_Map!A:C,3,FALSE)</f>
        <v>[BnC-5100] BnC Royalty Income - Kokubu</v>
      </c>
      <c r="J242" s="19">
        <f t="shared" si="3"/>
        <v>-7090.08</v>
      </c>
    </row>
    <row r="243" spans="1:10" x14ac:dyDescent="0.45">
      <c r="A243" s="165" t="s">
        <v>509</v>
      </c>
      <c r="B243" s="165" t="s">
        <v>510</v>
      </c>
      <c r="C243" s="165" t="s">
        <v>0</v>
      </c>
      <c r="D243" s="166"/>
      <c r="E243" s="166">
        <v>1846.9</v>
      </c>
      <c r="F243" s="166"/>
      <c r="G243" s="166"/>
      <c r="I243" s="14" t="str">
        <f>VLOOKUP(A243,bnc_Map!A:C,3,FALSE)</f>
        <v>[BnC-5100] BnC Royalty Income - Commonwealth Culinary</v>
      </c>
      <c r="J243" s="19">
        <f t="shared" si="3"/>
        <v>-1846.9</v>
      </c>
    </row>
    <row r="244" spans="1:10" x14ac:dyDescent="0.45">
      <c r="A244" s="165" t="s">
        <v>511</v>
      </c>
      <c r="B244" s="165" t="s">
        <v>512</v>
      </c>
      <c r="C244" s="165" t="s">
        <v>0</v>
      </c>
      <c r="D244" s="166"/>
      <c r="E244" s="166">
        <v>9070</v>
      </c>
      <c r="F244" s="166"/>
      <c r="G244" s="166"/>
      <c r="I244" s="14" t="str">
        <f>VLOOKUP(A244,bnc_Map!A:C,3,FALSE)</f>
        <v>[BnC-5300] BnC Rental Income</v>
      </c>
      <c r="J244" s="19">
        <f t="shared" si="3"/>
        <v>-9070</v>
      </c>
    </row>
    <row r="245" spans="1:10" x14ac:dyDescent="0.45">
      <c r="A245" s="165" t="s">
        <v>513</v>
      </c>
      <c r="B245" s="165" t="s">
        <v>514</v>
      </c>
      <c r="C245" s="165" t="s">
        <v>0</v>
      </c>
      <c r="D245" s="166">
        <v>882449.42</v>
      </c>
      <c r="E245" s="166"/>
      <c r="F245" s="166">
        <v>87330.41</v>
      </c>
      <c r="G245" s="166"/>
      <c r="I245" s="14" t="str">
        <f>VLOOKUP(A245,bnc_Map!A:C,3,FALSE)</f>
        <v>[BnC-6010] BnC Ingredient/Beverage/Consumable</v>
      </c>
      <c r="J245" s="19">
        <f t="shared" si="3"/>
        <v>882449.42</v>
      </c>
    </row>
    <row r="246" spans="1:10" x14ac:dyDescent="0.45">
      <c r="A246" s="165" t="s">
        <v>515</v>
      </c>
      <c r="B246" s="165" t="s">
        <v>516</v>
      </c>
      <c r="C246" s="165" t="s">
        <v>0</v>
      </c>
      <c r="D246" s="166">
        <v>285920.55</v>
      </c>
      <c r="E246" s="166"/>
      <c r="F246" s="166">
        <v>39523.4</v>
      </c>
      <c r="G246" s="166"/>
      <c r="I246" s="14" t="str">
        <f>VLOOKUP(A246,bnc_Map!A:C,3,FALSE)</f>
        <v>[BnC-6010] BnC Ingredient/Beverage/Consumable</v>
      </c>
      <c r="J246" s="19">
        <f t="shared" si="3"/>
        <v>285920.55</v>
      </c>
    </row>
    <row r="247" spans="1:10" x14ac:dyDescent="0.45">
      <c r="A247" s="165" t="s">
        <v>517</v>
      </c>
      <c r="B247" s="165" t="s">
        <v>518</v>
      </c>
      <c r="C247" s="165" t="s">
        <v>0</v>
      </c>
      <c r="D247" s="166">
        <v>91887.99</v>
      </c>
      <c r="E247" s="166"/>
      <c r="F247" s="166">
        <v>9885.7900000000009</v>
      </c>
      <c r="G247" s="166"/>
      <c r="I247" s="14" t="str">
        <f>VLOOKUP(A247,bnc_Map!A:C,3,FALSE)</f>
        <v>[BnC-6010] BnC Ingredient/Beverage/Consumable</v>
      </c>
      <c r="J247" s="19">
        <f t="shared" si="3"/>
        <v>91887.99</v>
      </c>
    </row>
    <row r="248" spans="1:10" x14ac:dyDescent="0.45">
      <c r="A248" s="165" t="s">
        <v>519</v>
      </c>
      <c r="B248" s="165" t="s">
        <v>520</v>
      </c>
      <c r="C248" s="165" t="s">
        <v>0</v>
      </c>
      <c r="D248" s="166">
        <v>4779.04</v>
      </c>
      <c r="E248" s="166"/>
      <c r="F248" s="166">
        <v>333</v>
      </c>
      <c r="G248" s="166"/>
      <c r="I248" s="14" t="str">
        <f>VLOOKUP(A248,bnc_Map!A:C,3,FALSE)</f>
        <v>[BnC-6010] BnC Ingredient/Beverage/Consumable</v>
      </c>
      <c r="J248" s="19">
        <f t="shared" si="3"/>
        <v>4779.04</v>
      </c>
    </row>
    <row r="249" spans="1:10" x14ac:dyDescent="0.45">
      <c r="A249" s="165" t="s">
        <v>521</v>
      </c>
      <c r="B249" s="165" t="s">
        <v>522</v>
      </c>
      <c r="C249" s="165" t="s">
        <v>0</v>
      </c>
      <c r="D249" s="166">
        <v>203679.35</v>
      </c>
      <c r="E249" s="166"/>
      <c r="F249" s="166">
        <v>22133.33</v>
      </c>
      <c r="G249" s="166"/>
      <c r="I249" s="14" t="str">
        <f>VLOOKUP(A249,bnc_Map!A:C,3,FALSE)</f>
        <v>[BnC-6010] BnC Ingredient/Beverage/Consumable</v>
      </c>
      <c r="J249" s="19">
        <f t="shared" si="3"/>
        <v>203679.35</v>
      </c>
    </row>
    <row r="250" spans="1:10" x14ac:dyDescent="0.45">
      <c r="A250" s="165" t="s">
        <v>523</v>
      </c>
      <c r="B250" s="165" t="s">
        <v>524</v>
      </c>
      <c r="C250" s="165" t="s">
        <v>0</v>
      </c>
      <c r="D250" s="166">
        <v>10393.01</v>
      </c>
      <c r="E250" s="166"/>
      <c r="F250" s="166">
        <v>1075.99</v>
      </c>
      <c r="G250" s="166"/>
      <c r="I250" s="14" t="str">
        <f>VLOOKUP(A250,bnc_Map!A:C,3,FALSE)</f>
        <v>[BnC-6010] BnC Ingredient/Beverage/Consumable</v>
      </c>
      <c r="J250" s="19">
        <f t="shared" si="3"/>
        <v>10393.01</v>
      </c>
    </row>
    <row r="251" spans="1:10" x14ac:dyDescent="0.45">
      <c r="A251" s="165" t="s">
        <v>525</v>
      </c>
      <c r="B251" s="165" t="s">
        <v>526</v>
      </c>
      <c r="C251" s="165" t="s">
        <v>0</v>
      </c>
      <c r="D251" s="166">
        <v>41704.230000000003</v>
      </c>
      <c r="E251" s="166"/>
      <c r="F251" s="166">
        <v>5696.3</v>
      </c>
      <c r="G251" s="166"/>
      <c r="I251" s="14" t="str">
        <f>VLOOKUP(A251,bnc_Map!A:C,3,FALSE)</f>
        <v>[BnC-6010] BnC Ingredient/Beverage/Consumable</v>
      </c>
      <c r="J251" s="19">
        <f t="shared" si="3"/>
        <v>41704.230000000003</v>
      </c>
    </row>
    <row r="252" spans="1:10" x14ac:dyDescent="0.45">
      <c r="A252" s="165" t="s">
        <v>527</v>
      </c>
      <c r="B252" s="165" t="s">
        <v>528</v>
      </c>
      <c r="C252" s="165" t="s">
        <v>0</v>
      </c>
      <c r="D252" s="166">
        <v>119561.99</v>
      </c>
      <c r="E252" s="166"/>
      <c r="F252" s="166">
        <v>11275.26</v>
      </c>
      <c r="G252" s="166"/>
      <c r="I252" s="14" t="str">
        <f>VLOOKUP(A252,bnc_Map!A:C,3,FALSE)</f>
        <v>[BnC-6010] BnC Ingredient/Beverage/Consumable</v>
      </c>
      <c r="J252" s="19">
        <f t="shared" si="3"/>
        <v>119561.99</v>
      </c>
    </row>
    <row r="253" spans="1:10" x14ac:dyDescent="0.45">
      <c r="A253" s="165" t="s">
        <v>529</v>
      </c>
      <c r="B253" s="165" t="s">
        <v>530</v>
      </c>
      <c r="C253" s="165" t="s">
        <v>0</v>
      </c>
      <c r="D253" s="166">
        <v>123592.35</v>
      </c>
      <c r="E253" s="166"/>
      <c r="F253" s="166">
        <v>10827.93</v>
      </c>
      <c r="G253" s="166"/>
      <c r="I253" s="14" t="str">
        <f>VLOOKUP(A253,bnc_Map!A:C,3,FALSE)</f>
        <v>[BnC-6010] BnC Ingredient/Beverage/Consumable</v>
      </c>
      <c r="J253" s="19">
        <f t="shared" si="3"/>
        <v>123592.35</v>
      </c>
    </row>
    <row r="254" spans="1:10" x14ac:dyDescent="0.45">
      <c r="A254" s="165" t="s">
        <v>531</v>
      </c>
      <c r="B254" s="165" t="s">
        <v>532</v>
      </c>
      <c r="C254" s="165" t="s">
        <v>0</v>
      </c>
      <c r="D254" s="166">
        <v>164368.26</v>
      </c>
      <c r="E254" s="166"/>
      <c r="F254" s="166">
        <v>18335.52</v>
      </c>
      <c r="G254" s="166"/>
      <c r="I254" s="14" t="str">
        <f>VLOOKUP(A254,bnc_Map!A:C,3,FALSE)</f>
        <v>[BnC-6010] BnC Ingredient/Beverage/Consumable</v>
      </c>
      <c r="J254" s="19">
        <f t="shared" si="3"/>
        <v>164368.26</v>
      </c>
    </row>
    <row r="255" spans="1:10" x14ac:dyDescent="0.45">
      <c r="A255" s="165" t="s">
        <v>533</v>
      </c>
      <c r="B255" s="165" t="s">
        <v>534</v>
      </c>
      <c r="C255" s="165" t="s">
        <v>0</v>
      </c>
      <c r="D255" s="166">
        <v>113062.54</v>
      </c>
      <c r="E255" s="166"/>
      <c r="F255" s="166">
        <v>11653.17</v>
      </c>
      <c r="G255" s="166"/>
      <c r="I255" s="14" t="str">
        <f>VLOOKUP(A255,bnc_Map!A:C,3,FALSE)</f>
        <v>[BnC-6010] BnC Ingredient/Beverage/Consumable</v>
      </c>
      <c r="J255" s="19">
        <f t="shared" si="3"/>
        <v>113062.54</v>
      </c>
    </row>
    <row r="256" spans="1:10" x14ac:dyDescent="0.45">
      <c r="A256" s="165" t="s">
        <v>535</v>
      </c>
      <c r="B256" s="165" t="s">
        <v>536</v>
      </c>
      <c r="C256" s="165" t="s">
        <v>0</v>
      </c>
      <c r="D256" s="166">
        <v>281534.62</v>
      </c>
      <c r="E256" s="166"/>
      <c r="F256" s="166">
        <v>26784.959999999999</v>
      </c>
      <c r="G256" s="166"/>
      <c r="I256" s="14" t="str">
        <f>VLOOKUP(A256,bnc_Map!A:C,3,FALSE)</f>
        <v>[BnC-6010] BnC Ingredient/Beverage/Consumable</v>
      </c>
      <c r="J256" s="19">
        <f t="shared" si="3"/>
        <v>281534.62</v>
      </c>
    </row>
    <row r="257" spans="1:10" x14ac:dyDescent="0.45">
      <c r="A257" s="165" t="s">
        <v>537</v>
      </c>
      <c r="B257" s="165" t="s">
        <v>538</v>
      </c>
      <c r="C257" s="165" t="s">
        <v>0</v>
      </c>
      <c r="D257" s="166">
        <v>100413.88</v>
      </c>
      <c r="E257" s="166"/>
      <c r="F257" s="166">
        <v>10846.65</v>
      </c>
      <c r="G257" s="166"/>
      <c r="I257" s="14" t="str">
        <f>VLOOKUP(A257,bnc_Map!A:C,3,FALSE)</f>
        <v>[BnC-6010] BnC Ingredient/Beverage/Consumable</v>
      </c>
      <c r="J257" s="19">
        <f t="shared" si="3"/>
        <v>100413.88</v>
      </c>
    </row>
    <row r="258" spans="1:10" x14ac:dyDescent="0.45">
      <c r="A258" s="165" t="s">
        <v>541</v>
      </c>
      <c r="B258" s="165" t="s">
        <v>542</v>
      </c>
      <c r="C258" s="165" t="s">
        <v>0</v>
      </c>
      <c r="D258" s="166">
        <v>4882.79</v>
      </c>
      <c r="E258" s="166"/>
      <c r="F258" s="166">
        <v>1058.3900000000001</v>
      </c>
      <c r="G258" s="166"/>
      <c r="I258" s="14" t="str">
        <f>VLOOKUP(A258,bnc_Map!A:C,3,FALSE)</f>
        <v>[BnC-6010] BnC Ingredient/Beverage/Consumable</v>
      </c>
      <c r="J258" s="19">
        <f t="shared" si="3"/>
        <v>4882.79</v>
      </c>
    </row>
    <row r="259" spans="1:10" x14ac:dyDescent="0.45">
      <c r="A259" s="165" t="s">
        <v>543</v>
      </c>
      <c r="B259" s="165" t="s">
        <v>544</v>
      </c>
      <c r="C259" s="165" t="s">
        <v>0</v>
      </c>
      <c r="D259" s="166">
        <v>5883.19</v>
      </c>
      <c r="E259" s="166"/>
      <c r="F259" s="166">
        <v>662.39</v>
      </c>
      <c r="G259" s="166"/>
      <c r="I259" s="14" t="str">
        <f>VLOOKUP(A259,bnc_Map!A:C,3,FALSE)</f>
        <v>[BnC-6010] BnC Ingredient/Beverage/Consumable</v>
      </c>
      <c r="J259" s="19">
        <f t="shared" si="3"/>
        <v>5883.19</v>
      </c>
    </row>
    <row r="260" spans="1:10" x14ac:dyDescent="0.45">
      <c r="A260" s="165" t="s">
        <v>545</v>
      </c>
      <c r="B260" s="165" t="s">
        <v>546</v>
      </c>
      <c r="C260" s="165" t="s">
        <v>0</v>
      </c>
      <c r="D260" s="166">
        <v>22123.29</v>
      </c>
      <c r="E260" s="166"/>
      <c r="F260" s="166">
        <v>1583.39</v>
      </c>
      <c r="G260" s="166"/>
      <c r="I260" s="14" t="str">
        <f>VLOOKUP(A260,bnc_Map!A:C,3,FALSE)</f>
        <v>[BnC-6010] BnC Ingredient/Beverage/Consumable</v>
      </c>
      <c r="J260" s="19">
        <f t="shared" si="3"/>
        <v>22123.29</v>
      </c>
    </row>
    <row r="261" spans="1:10" x14ac:dyDescent="0.45">
      <c r="A261" s="165" t="s">
        <v>547</v>
      </c>
      <c r="B261" s="165" t="s">
        <v>548</v>
      </c>
      <c r="C261" s="165" t="s">
        <v>0</v>
      </c>
      <c r="D261" s="166">
        <v>931.21</v>
      </c>
      <c r="E261" s="166"/>
      <c r="F261" s="166">
        <v>201.6</v>
      </c>
      <c r="G261" s="166"/>
      <c r="I261" s="14" t="str">
        <f>VLOOKUP(A261,bnc_Map!A:C,3,FALSE)</f>
        <v>[BnC-6010] BnC Ingredient/Beverage/Consumable</v>
      </c>
      <c r="J261" s="19">
        <f t="shared" si="3"/>
        <v>931.21</v>
      </c>
    </row>
    <row r="262" spans="1:10" x14ac:dyDescent="0.45">
      <c r="A262" s="165" t="s">
        <v>549</v>
      </c>
      <c r="B262" s="165" t="s">
        <v>550</v>
      </c>
      <c r="C262" s="165" t="s">
        <v>0</v>
      </c>
      <c r="D262" s="166">
        <v>1609.82</v>
      </c>
      <c r="E262" s="166"/>
      <c r="F262" s="166">
        <v>198</v>
      </c>
      <c r="G262" s="166"/>
      <c r="I262" s="14" t="str">
        <f>VLOOKUP(A262,bnc_Map!A:C,3,FALSE)</f>
        <v>[BnC-6010] BnC Ingredient/Beverage/Consumable</v>
      </c>
      <c r="J262" s="19">
        <f t="shared" ref="J262:J325" si="4">D262-E262</f>
        <v>1609.82</v>
      </c>
    </row>
    <row r="263" spans="1:10" x14ac:dyDescent="0.45">
      <c r="A263" s="165" t="s">
        <v>551</v>
      </c>
      <c r="B263" s="165" t="s">
        <v>552</v>
      </c>
      <c r="C263" s="165" t="s">
        <v>0</v>
      </c>
      <c r="D263" s="166">
        <v>7104</v>
      </c>
      <c r="E263" s="166"/>
      <c r="F263" s="166">
        <v>576</v>
      </c>
      <c r="G263" s="166"/>
      <c r="I263" s="14" t="str">
        <f>VLOOKUP(A263,bnc_Map!A:C,3,FALSE)</f>
        <v>[BnC-6010] BnC Ingredient/Beverage/Consumable</v>
      </c>
      <c r="J263" s="19">
        <f t="shared" si="4"/>
        <v>7104</v>
      </c>
    </row>
    <row r="264" spans="1:10" x14ac:dyDescent="0.45">
      <c r="A264" s="165" t="s">
        <v>553</v>
      </c>
      <c r="B264" s="165" t="s">
        <v>554</v>
      </c>
      <c r="C264" s="165" t="s">
        <v>0</v>
      </c>
      <c r="D264" s="166">
        <v>17349.39</v>
      </c>
      <c r="E264" s="166"/>
      <c r="F264" s="166">
        <v>2243.7800000000002</v>
      </c>
      <c r="G264" s="166"/>
      <c r="I264" s="14" t="str">
        <f>VLOOKUP(A264,bnc_Map!A:C,3,FALSE)</f>
        <v>[BnC-6010] BnC Ingredient/Beverage/Consumable</v>
      </c>
      <c r="J264" s="19">
        <f t="shared" si="4"/>
        <v>17349.39</v>
      </c>
    </row>
    <row r="265" spans="1:10" x14ac:dyDescent="0.45">
      <c r="A265" s="165" t="s">
        <v>555</v>
      </c>
      <c r="B265" s="165" t="s">
        <v>556</v>
      </c>
      <c r="C265" s="165" t="s">
        <v>0</v>
      </c>
      <c r="D265" s="166">
        <v>67518.320000000007</v>
      </c>
      <c r="E265" s="166"/>
      <c r="F265" s="166">
        <v>8881.86</v>
      </c>
      <c r="G265" s="166"/>
      <c r="I265" s="14" t="str">
        <f>VLOOKUP(A265,bnc_Map!A:C,3,FALSE)</f>
        <v>[BnC-6010] BnC Ingredient/Beverage/Consumable</v>
      </c>
      <c r="J265" s="19">
        <f t="shared" si="4"/>
        <v>67518.320000000007</v>
      </c>
    </row>
    <row r="266" spans="1:10" x14ac:dyDescent="0.45">
      <c r="A266" s="165" t="s">
        <v>557</v>
      </c>
      <c r="B266" s="165" t="s">
        <v>558</v>
      </c>
      <c r="C266" s="165" t="s">
        <v>0</v>
      </c>
      <c r="D266" s="166">
        <v>10720.93</v>
      </c>
      <c r="E266" s="166"/>
      <c r="F266" s="166">
        <v>693</v>
      </c>
      <c r="G266" s="166"/>
      <c r="I266" s="14" t="str">
        <f>VLOOKUP(A266,bnc_Map!A:C,3,FALSE)</f>
        <v>[BnC-6010] BnC Ingredient/Beverage/Consumable</v>
      </c>
      <c r="J266" s="19">
        <f t="shared" si="4"/>
        <v>10720.93</v>
      </c>
    </row>
    <row r="267" spans="1:10" x14ac:dyDescent="0.45">
      <c r="A267" s="165" t="s">
        <v>559</v>
      </c>
      <c r="B267" s="165" t="s">
        <v>560</v>
      </c>
      <c r="C267" s="165" t="s">
        <v>0</v>
      </c>
      <c r="D267" s="166">
        <v>10414.299999999999</v>
      </c>
      <c r="E267" s="166"/>
      <c r="F267" s="166">
        <v>1167.99</v>
      </c>
      <c r="G267" s="166"/>
      <c r="I267" s="14" t="str">
        <f>VLOOKUP(A267,bnc_Map!A:C,3,FALSE)</f>
        <v>[BnC-6010] BnC Ingredient/Beverage/Consumable</v>
      </c>
      <c r="J267" s="19">
        <f t="shared" si="4"/>
        <v>10414.299999999999</v>
      </c>
    </row>
    <row r="268" spans="1:10" x14ac:dyDescent="0.45">
      <c r="A268" s="165" t="s">
        <v>561</v>
      </c>
      <c r="B268" s="165" t="s">
        <v>562</v>
      </c>
      <c r="C268" s="165" t="s">
        <v>0</v>
      </c>
      <c r="D268" s="166">
        <v>20641.03</v>
      </c>
      <c r="E268" s="166"/>
      <c r="F268" s="166">
        <v>2047.7</v>
      </c>
      <c r="G268" s="166"/>
      <c r="I268" s="14" t="str">
        <f>VLOOKUP(A268,bnc_Map!A:C,3,FALSE)</f>
        <v>[BnC-6010] BnC Ingredient/Beverage/Consumable</v>
      </c>
      <c r="J268" s="19">
        <f t="shared" si="4"/>
        <v>20641.03</v>
      </c>
    </row>
    <row r="269" spans="1:10" x14ac:dyDescent="0.45">
      <c r="A269" s="165" t="s">
        <v>563</v>
      </c>
      <c r="B269" s="165" t="s">
        <v>564</v>
      </c>
      <c r="C269" s="165" t="s">
        <v>0</v>
      </c>
      <c r="D269" s="166">
        <v>100001.38</v>
      </c>
      <c r="E269" s="166"/>
      <c r="F269" s="166">
        <v>8547.32</v>
      </c>
      <c r="G269" s="166"/>
      <c r="I269" s="14" t="str">
        <f>VLOOKUP(A269,bnc_Map!A:C,3,FALSE)</f>
        <v>[BnC-6010] BnC Ingredient/Beverage/Consumable</v>
      </c>
      <c r="J269" s="19">
        <f t="shared" si="4"/>
        <v>100001.38</v>
      </c>
    </row>
    <row r="270" spans="1:10" x14ac:dyDescent="0.45">
      <c r="A270" s="165" t="s">
        <v>565</v>
      </c>
      <c r="B270" s="165" t="s">
        <v>566</v>
      </c>
      <c r="C270" s="165" t="s">
        <v>0</v>
      </c>
      <c r="D270" s="166">
        <v>7682.57</v>
      </c>
      <c r="E270" s="166"/>
      <c r="F270" s="166">
        <v>1037.4000000000001</v>
      </c>
      <c r="G270" s="166"/>
      <c r="I270" s="14" t="str">
        <f>VLOOKUP(A270,bnc_Map!A:C,3,FALSE)</f>
        <v>[BnC-6010] BnC Ingredient/Beverage/Consumable</v>
      </c>
      <c r="J270" s="19">
        <f t="shared" si="4"/>
        <v>7682.57</v>
      </c>
    </row>
    <row r="271" spans="1:10" x14ac:dyDescent="0.45">
      <c r="A271" s="165" t="s">
        <v>569</v>
      </c>
      <c r="B271" s="165" t="s">
        <v>570</v>
      </c>
      <c r="C271" s="165" t="s">
        <v>0</v>
      </c>
      <c r="D271" s="166">
        <v>588.5</v>
      </c>
      <c r="E271" s="166"/>
      <c r="F271" s="166">
        <v>177</v>
      </c>
      <c r="G271" s="166"/>
      <c r="I271" s="14" t="str">
        <f>VLOOKUP(A271,bnc_Map!A:C,3,FALSE)</f>
        <v>[BnC-6010] BnC Ingredient/Beverage/Consumable</v>
      </c>
      <c r="J271" s="19">
        <f t="shared" si="4"/>
        <v>588.5</v>
      </c>
    </row>
    <row r="272" spans="1:10" x14ac:dyDescent="0.45">
      <c r="A272" s="165" t="s">
        <v>571</v>
      </c>
      <c r="B272" s="165" t="s">
        <v>572</v>
      </c>
      <c r="C272" s="165" t="s">
        <v>0</v>
      </c>
      <c r="D272" s="166">
        <v>3554</v>
      </c>
      <c r="E272" s="166"/>
      <c r="F272" s="166">
        <v>116.5</v>
      </c>
      <c r="G272" s="166"/>
      <c r="I272" s="14" t="str">
        <f>VLOOKUP(A272,bnc_Map!A:C,3,FALSE)</f>
        <v>[BnC-6010] BnC Ingredient/Beverage/Consumable</v>
      </c>
      <c r="J272" s="19">
        <f t="shared" si="4"/>
        <v>3554</v>
      </c>
    </row>
    <row r="273" spans="1:10" x14ac:dyDescent="0.45">
      <c r="A273" s="165" t="s">
        <v>573</v>
      </c>
      <c r="B273" s="165" t="s">
        <v>574</v>
      </c>
      <c r="C273" s="165" t="s">
        <v>0</v>
      </c>
      <c r="D273" s="166">
        <v>4552.37</v>
      </c>
      <c r="E273" s="166"/>
      <c r="F273" s="166">
        <v>210.01</v>
      </c>
      <c r="G273" s="166"/>
      <c r="I273" s="14" t="str">
        <f>VLOOKUP(A273,bnc_Map!A:C,3,FALSE)</f>
        <v>[BnC-6010] BnC Ingredient/Beverage/Consumable</v>
      </c>
      <c r="J273" s="19">
        <f t="shared" si="4"/>
        <v>4552.37</v>
      </c>
    </row>
    <row r="274" spans="1:10" x14ac:dyDescent="0.45">
      <c r="A274" s="165" t="s">
        <v>575</v>
      </c>
      <c r="B274" s="165" t="s">
        <v>576</v>
      </c>
      <c r="C274" s="165" t="s">
        <v>0</v>
      </c>
      <c r="D274" s="166">
        <v>4456.92</v>
      </c>
      <c r="E274" s="166"/>
      <c r="F274" s="166">
        <v>236.5</v>
      </c>
      <c r="G274" s="166"/>
      <c r="I274" s="14" t="str">
        <f>VLOOKUP(A274,bnc_Map!A:C,3,FALSE)</f>
        <v>[BnC-6010] BnC Ingredient/Beverage/Consumable</v>
      </c>
      <c r="J274" s="19">
        <f t="shared" si="4"/>
        <v>4456.92</v>
      </c>
    </row>
    <row r="275" spans="1:10" x14ac:dyDescent="0.45">
      <c r="A275" s="165" t="s">
        <v>577</v>
      </c>
      <c r="B275" s="165" t="s">
        <v>578</v>
      </c>
      <c r="C275" s="165" t="s">
        <v>0</v>
      </c>
      <c r="D275" s="166">
        <v>66.36</v>
      </c>
      <c r="E275" s="166"/>
      <c r="F275" s="166"/>
      <c r="G275" s="166"/>
      <c r="I275" s="14" t="str">
        <f>VLOOKUP(A275,bnc_Map!A:C,3,FALSE)</f>
        <v>[BnC-6010] BnC Ingredient/Beverage/Consumable</v>
      </c>
      <c r="J275" s="19">
        <f t="shared" si="4"/>
        <v>66.36</v>
      </c>
    </row>
    <row r="276" spans="1:10" x14ac:dyDescent="0.45">
      <c r="A276" s="165" t="s">
        <v>579</v>
      </c>
      <c r="B276" s="165" t="s">
        <v>580</v>
      </c>
      <c r="C276" s="165" t="s">
        <v>0</v>
      </c>
      <c r="D276" s="166">
        <v>940.19</v>
      </c>
      <c r="E276" s="166"/>
      <c r="F276" s="166">
        <v>313.97000000000003</v>
      </c>
      <c r="G276" s="166"/>
      <c r="I276" s="14" t="str">
        <f>VLOOKUP(A276,bnc_Map!A:C,3,FALSE)</f>
        <v>[BnC-6010] BnC Ingredient/Beverage/Consumable</v>
      </c>
      <c r="J276" s="19">
        <f t="shared" si="4"/>
        <v>940.19</v>
      </c>
    </row>
    <row r="277" spans="1:10" x14ac:dyDescent="0.45">
      <c r="A277" s="165" t="s">
        <v>581</v>
      </c>
      <c r="B277" s="165" t="s">
        <v>582</v>
      </c>
      <c r="C277" s="165" t="s">
        <v>0</v>
      </c>
      <c r="D277" s="166">
        <v>3162.51</v>
      </c>
      <c r="E277" s="166"/>
      <c r="F277" s="166">
        <v>121</v>
      </c>
      <c r="G277" s="166"/>
      <c r="I277" s="14" t="str">
        <f>VLOOKUP(A277,bnc_Map!A:C,3,FALSE)</f>
        <v>[BnC-6010] BnC Ingredient/Beverage/Consumable</v>
      </c>
      <c r="J277" s="19">
        <f t="shared" si="4"/>
        <v>3162.51</v>
      </c>
    </row>
    <row r="278" spans="1:10" x14ac:dyDescent="0.45">
      <c r="A278" s="165" t="s">
        <v>583</v>
      </c>
      <c r="B278" s="165" t="s">
        <v>584</v>
      </c>
      <c r="C278" s="165" t="s">
        <v>0</v>
      </c>
      <c r="D278" s="166">
        <v>3776.5</v>
      </c>
      <c r="E278" s="166"/>
      <c r="F278" s="166">
        <v>513.5</v>
      </c>
      <c r="G278" s="166"/>
      <c r="I278" s="14" t="str">
        <f>VLOOKUP(A278,bnc_Map!A:C,3,FALSE)</f>
        <v>[BnC-6010] BnC Ingredient/Beverage/Consumable</v>
      </c>
      <c r="J278" s="19">
        <f t="shared" si="4"/>
        <v>3776.5</v>
      </c>
    </row>
    <row r="279" spans="1:10" x14ac:dyDescent="0.45">
      <c r="A279" s="165" t="s">
        <v>585</v>
      </c>
      <c r="B279" s="165" t="s">
        <v>586</v>
      </c>
      <c r="C279" s="165" t="s">
        <v>0</v>
      </c>
      <c r="D279" s="166">
        <v>1893.5</v>
      </c>
      <c r="E279" s="166"/>
      <c r="F279" s="166">
        <v>142</v>
      </c>
      <c r="G279" s="166"/>
      <c r="I279" s="14" t="str">
        <f>VLOOKUP(A279,bnc_Map!A:C,3,FALSE)</f>
        <v>[BnC-6010] BnC Ingredient/Beverage/Consumable</v>
      </c>
      <c r="J279" s="19">
        <f t="shared" si="4"/>
        <v>1893.5</v>
      </c>
    </row>
    <row r="280" spans="1:10" x14ac:dyDescent="0.45">
      <c r="A280" s="165" t="s">
        <v>587</v>
      </c>
      <c r="B280" s="165" t="s">
        <v>588</v>
      </c>
      <c r="C280" s="165" t="s">
        <v>0</v>
      </c>
      <c r="D280" s="166">
        <v>2678.01</v>
      </c>
      <c r="E280" s="166"/>
      <c r="F280" s="166"/>
      <c r="G280" s="166"/>
      <c r="I280" s="14" t="str">
        <f>VLOOKUP(A280,bnc_Map!A:C,3,FALSE)</f>
        <v>[BnC-6010] BnC Ingredient/Beverage/Consumable</v>
      </c>
      <c r="J280" s="19">
        <f t="shared" si="4"/>
        <v>2678.01</v>
      </c>
    </row>
    <row r="281" spans="1:10" x14ac:dyDescent="0.45">
      <c r="A281" s="165" t="s">
        <v>589</v>
      </c>
      <c r="B281" s="165" t="s">
        <v>590</v>
      </c>
      <c r="C281" s="165" t="s">
        <v>0</v>
      </c>
      <c r="D281" s="166">
        <v>6575</v>
      </c>
      <c r="E281" s="166"/>
      <c r="F281" s="166">
        <v>487</v>
      </c>
      <c r="G281" s="166"/>
      <c r="I281" s="14" t="str">
        <f>VLOOKUP(A281,bnc_Map!A:C,3,FALSE)</f>
        <v>[BnC-6010] BnC Ingredient/Beverage/Consumable</v>
      </c>
      <c r="J281" s="19">
        <f t="shared" si="4"/>
        <v>6575</v>
      </c>
    </row>
    <row r="282" spans="1:10" x14ac:dyDescent="0.45">
      <c r="A282" s="165" t="s">
        <v>591</v>
      </c>
      <c r="B282" s="165" t="s">
        <v>592</v>
      </c>
      <c r="C282" s="165" t="s">
        <v>0</v>
      </c>
      <c r="D282" s="166">
        <v>2234.46</v>
      </c>
      <c r="E282" s="166"/>
      <c r="F282" s="166">
        <v>228</v>
      </c>
      <c r="G282" s="166"/>
      <c r="I282" s="14" t="str">
        <f>VLOOKUP(A282,bnc_Map!A:C,3,FALSE)</f>
        <v>[BnC-6010] BnC Ingredient/Beverage/Consumable</v>
      </c>
      <c r="J282" s="19">
        <f t="shared" si="4"/>
        <v>2234.46</v>
      </c>
    </row>
    <row r="283" spans="1:10" x14ac:dyDescent="0.45">
      <c r="A283" s="165" t="s">
        <v>595</v>
      </c>
      <c r="B283" s="165" t="s">
        <v>596</v>
      </c>
      <c r="C283" s="165" t="s">
        <v>0</v>
      </c>
      <c r="D283" s="166">
        <v>49895.38</v>
      </c>
      <c r="E283" s="166"/>
      <c r="F283" s="166">
        <v>3982.04</v>
      </c>
      <c r="G283" s="166"/>
      <c r="I283" s="14" t="str">
        <f>VLOOKUP(A283,bnc_Map!A:C,3,FALSE)</f>
        <v>[BnC-6010] BnC Ingredient/Beverage/Consumable</v>
      </c>
      <c r="J283" s="19">
        <f t="shared" si="4"/>
        <v>49895.38</v>
      </c>
    </row>
    <row r="284" spans="1:10" x14ac:dyDescent="0.45">
      <c r="A284" s="165" t="s">
        <v>597</v>
      </c>
      <c r="B284" s="165" t="s">
        <v>598</v>
      </c>
      <c r="C284" s="165" t="s">
        <v>0</v>
      </c>
      <c r="D284" s="166">
        <v>39966.050000000003</v>
      </c>
      <c r="E284" s="166"/>
      <c r="F284" s="166">
        <v>4139.8</v>
      </c>
      <c r="G284" s="166"/>
      <c r="I284" s="14" t="str">
        <f>VLOOKUP(A284,bnc_Map!A:C,3,FALSE)</f>
        <v>[BnC-6010] BnC Ingredient/Beverage/Consumable</v>
      </c>
      <c r="J284" s="19">
        <f t="shared" si="4"/>
        <v>39966.050000000003</v>
      </c>
    </row>
    <row r="285" spans="1:10" x14ac:dyDescent="0.45">
      <c r="A285" s="165" t="s">
        <v>599</v>
      </c>
      <c r="B285" s="165" t="s">
        <v>600</v>
      </c>
      <c r="C285" s="165" t="s">
        <v>0</v>
      </c>
      <c r="D285" s="166">
        <v>11528.03</v>
      </c>
      <c r="E285" s="166"/>
      <c r="F285" s="166">
        <v>915.49</v>
      </c>
      <c r="G285" s="166"/>
      <c r="I285" s="14" t="str">
        <f>VLOOKUP(A285,bnc_Map!A:C,3,FALSE)</f>
        <v>[BnC-6010] BnC Ingredient/Beverage/Consumable</v>
      </c>
      <c r="J285" s="19">
        <f t="shared" si="4"/>
        <v>11528.03</v>
      </c>
    </row>
    <row r="286" spans="1:10" x14ac:dyDescent="0.45">
      <c r="A286" s="165" t="s">
        <v>601</v>
      </c>
      <c r="B286" s="165" t="s">
        <v>602</v>
      </c>
      <c r="C286" s="165" t="s">
        <v>0</v>
      </c>
      <c r="D286" s="166">
        <v>29029.88</v>
      </c>
      <c r="E286" s="166"/>
      <c r="F286" s="166">
        <v>2550.4</v>
      </c>
      <c r="G286" s="166"/>
      <c r="I286" s="14" t="str">
        <f>VLOOKUP(A286,bnc_Map!A:C,3,FALSE)</f>
        <v>[BnC-6010] BnC Ingredient/Beverage/Consumable</v>
      </c>
      <c r="J286" s="19">
        <f t="shared" si="4"/>
        <v>29029.88</v>
      </c>
    </row>
    <row r="287" spans="1:10" x14ac:dyDescent="0.45">
      <c r="A287" s="165" t="s">
        <v>603</v>
      </c>
      <c r="B287" s="165" t="s">
        <v>604</v>
      </c>
      <c r="C287" s="165" t="s">
        <v>0</v>
      </c>
      <c r="D287" s="166">
        <v>21957.63</v>
      </c>
      <c r="E287" s="166"/>
      <c r="F287" s="166">
        <v>1816.15</v>
      </c>
      <c r="G287" s="166"/>
      <c r="I287" s="14" t="str">
        <f>VLOOKUP(A287,bnc_Map!A:C,3,FALSE)</f>
        <v>[BnC-6010] BnC Ingredient/Beverage/Consumable</v>
      </c>
      <c r="J287" s="19">
        <f t="shared" si="4"/>
        <v>21957.63</v>
      </c>
    </row>
    <row r="288" spans="1:10" x14ac:dyDescent="0.45">
      <c r="A288" s="165" t="s">
        <v>605</v>
      </c>
      <c r="B288" s="165" t="s">
        <v>606</v>
      </c>
      <c r="C288" s="165" t="s">
        <v>0</v>
      </c>
      <c r="D288" s="166">
        <v>28895.06</v>
      </c>
      <c r="E288" s="166"/>
      <c r="F288" s="166">
        <v>2465.4299999999998</v>
      </c>
      <c r="G288" s="166"/>
      <c r="I288" s="14" t="str">
        <f>VLOOKUP(A288,bnc_Map!A:C,3,FALSE)</f>
        <v>[BnC-6010] BnC Ingredient/Beverage/Consumable</v>
      </c>
      <c r="J288" s="19">
        <f t="shared" si="4"/>
        <v>28895.06</v>
      </c>
    </row>
    <row r="289" spans="1:10" x14ac:dyDescent="0.45">
      <c r="A289" s="165" t="s">
        <v>607</v>
      </c>
      <c r="B289" s="165" t="s">
        <v>608</v>
      </c>
      <c r="C289" s="165" t="s">
        <v>0</v>
      </c>
      <c r="D289" s="166">
        <v>23122.16</v>
      </c>
      <c r="E289" s="166"/>
      <c r="F289" s="166">
        <v>2254.69</v>
      </c>
      <c r="G289" s="166"/>
      <c r="I289" s="14" t="str">
        <f>VLOOKUP(A289,bnc_Map!A:C,3,FALSE)</f>
        <v>[BnC-6010] BnC Ingredient/Beverage/Consumable</v>
      </c>
      <c r="J289" s="19">
        <f t="shared" si="4"/>
        <v>23122.16</v>
      </c>
    </row>
    <row r="290" spans="1:10" x14ac:dyDescent="0.45">
      <c r="A290" s="165" t="s">
        <v>609</v>
      </c>
      <c r="B290" s="165" t="s">
        <v>610</v>
      </c>
      <c r="C290" s="165" t="s">
        <v>0</v>
      </c>
      <c r="D290" s="166">
        <v>30207.119999999999</v>
      </c>
      <c r="E290" s="166"/>
      <c r="F290" s="166">
        <v>2593.12</v>
      </c>
      <c r="G290" s="166"/>
      <c r="I290" s="14" t="str">
        <f>VLOOKUP(A290,bnc_Map!A:C,3,FALSE)</f>
        <v>[BnC-6010] BnC Ingredient/Beverage/Consumable</v>
      </c>
      <c r="J290" s="19">
        <f t="shared" si="4"/>
        <v>30207.119999999999</v>
      </c>
    </row>
    <row r="291" spans="1:10" x14ac:dyDescent="0.45">
      <c r="A291" s="165" t="s">
        <v>611</v>
      </c>
      <c r="B291" s="165" t="s">
        <v>612</v>
      </c>
      <c r="C291" s="165" t="s">
        <v>0</v>
      </c>
      <c r="D291" s="166">
        <v>51262.15</v>
      </c>
      <c r="E291" s="166"/>
      <c r="F291" s="166">
        <v>4008.97</v>
      </c>
      <c r="G291" s="166"/>
      <c r="I291" s="14" t="str">
        <f>VLOOKUP(A291,bnc_Map!A:C,3,FALSE)</f>
        <v>[BnC-6010] BnC Ingredient/Beverage/Consumable</v>
      </c>
      <c r="J291" s="19">
        <f t="shared" si="4"/>
        <v>51262.15</v>
      </c>
    </row>
    <row r="292" spans="1:10" x14ac:dyDescent="0.45">
      <c r="A292" s="165" t="s">
        <v>613</v>
      </c>
      <c r="B292" s="165" t="s">
        <v>614</v>
      </c>
      <c r="C292" s="165" t="s">
        <v>0</v>
      </c>
      <c r="D292" s="166">
        <v>19501.57</v>
      </c>
      <c r="E292" s="166"/>
      <c r="F292" s="166">
        <v>1925.24</v>
      </c>
      <c r="G292" s="166"/>
      <c r="I292" s="14" t="str">
        <f>VLOOKUP(A292,bnc_Map!A:C,3,FALSE)</f>
        <v>[BnC-6010] BnC Ingredient/Beverage/Consumable</v>
      </c>
      <c r="J292" s="19">
        <f t="shared" si="4"/>
        <v>19501.57</v>
      </c>
    </row>
    <row r="293" spans="1:10" x14ac:dyDescent="0.45">
      <c r="A293" s="165" t="s">
        <v>617</v>
      </c>
      <c r="B293" s="165" t="s">
        <v>618</v>
      </c>
      <c r="C293" s="165" t="s">
        <v>0</v>
      </c>
      <c r="D293" s="166">
        <v>294706.44</v>
      </c>
      <c r="E293" s="166"/>
      <c r="F293" s="166">
        <v>34535.32</v>
      </c>
      <c r="G293" s="166"/>
      <c r="I293" s="14" t="str">
        <f>VLOOKUP(A293,bnc_Map!A:C,3,FALSE)</f>
        <v>[BnC-6010] BnC Ingredient/Beverage/Consumable</v>
      </c>
      <c r="J293" s="19">
        <f t="shared" si="4"/>
        <v>294706.44</v>
      </c>
    </row>
    <row r="294" spans="1:10" x14ac:dyDescent="0.45">
      <c r="A294" s="165" t="s">
        <v>619</v>
      </c>
      <c r="B294" s="165" t="s">
        <v>620</v>
      </c>
      <c r="C294" s="165" t="s">
        <v>0</v>
      </c>
      <c r="D294" s="166">
        <v>3899.25</v>
      </c>
      <c r="E294" s="166"/>
      <c r="F294" s="166"/>
      <c r="G294" s="166"/>
      <c r="I294" s="14" t="str">
        <f>VLOOKUP(A294,bnc_Map!A:C,3,FALSE)</f>
        <v>[BnC-6010] BnC Ingredient/Beverage/Consumable</v>
      </c>
      <c r="J294" s="19">
        <f t="shared" si="4"/>
        <v>3899.25</v>
      </c>
    </row>
    <row r="295" spans="1:10" x14ac:dyDescent="0.45">
      <c r="A295" s="165" t="s">
        <v>621</v>
      </c>
      <c r="B295" s="165" t="s">
        <v>622</v>
      </c>
      <c r="C295" s="165" t="s">
        <v>0</v>
      </c>
      <c r="D295" s="166">
        <v>143886.89000000001</v>
      </c>
      <c r="E295" s="166"/>
      <c r="F295" s="166">
        <v>15345</v>
      </c>
      <c r="G295" s="166"/>
      <c r="I295" s="14" t="str">
        <f>VLOOKUP(A295,bnc_Map!A:C,3,FALSE)</f>
        <v>[BnC-6010] BnC Ingredient/Beverage/Consumable</v>
      </c>
      <c r="J295" s="19">
        <f t="shared" si="4"/>
        <v>143886.89000000001</v>
      </c>
    </row>
    <row r="296" spans="1:10" x14ac:dyDescent="0.45">
      <c r="A296" s="165" t="s">
        <v>623</v>
      </c>
      <c r="B296" s="165" t="s">
        <v>624</v>
      </c>
      <c r="C296" s="165" t="s">
        <v>0</v>
      </c>
      <c r="D296" s="166">
        <v>31417.84</v>
      </c>
      <c r="E296" s="166"/>
      <c r="F296" s="166">
        <v>2824.94</v>
      </c>
      <c r="G296" s="166"/>
      <c r="I296" s="14" t="str">
        <f>VLOOKUP(A296,bnc_Map!A:C,3,FALSE)</f>
        <v>[BnC-6010] BnC Ingredient/Beverage/Consumable</v>
      </c>
      <c r="J296" s="19">
        <f t="shared" si="4"/>
        <v>31417.84</v>
      </c>
    </row>
    <row r="297" spans="1:10" x14ac:dyDescent="0.45">
      <c r="A297" s="165" t="s">
        <v>625</v>
      </c>
      <c r="B297" s="165" t="s">
        <v>626</v>
      </c>
      <c r="C297" s="165" t="s">
        <v>0</v>
      </c>
      <c r="D297" s="166">
        <v>35233.800000000003</v>
      </c>
      <c r="E297" s="166"/>
      <c r="F297" s="166">
        <v>2900</v>
      </c>
      <c r="G297" s="166"/>
      <c r="I297" s="14" t="str">
        <f>VLOOKUP(A297,bnc_Map!A:C,3,FALSE)</f>
        <v>[BnC-6010] BnC Ingredient/Beverage/Consumable</v>
      </c>
      <c r="J297" s="19">
        <f t="shared" si="4"/>
        <v>35233.800000000003</v>
      </c>
    </row>
    <row r="298" spans="1:10" x14ac:dyDescent="0.45">
      <c r="A298" s="165" t="s">
        <v>627</v>
      </c>
      <c r="B298" s="165" t="s">
        <v>628</v>
      </c>
      <c r="C298" s="165" t="s">
        <v>0</v>
      </c>
      <c r="D298" s="166">
        <v>500000</v>
      </c>
      <c r="E298" s="166"/>
      <c r="F298" s="166"/>
      <c r="G298" s="166"/>
      <c r="I298" s="14" t="str">
        <f>VLOOKUP(A298,bnc_Map!A:C,3,FALSE)</f>
        <v>[BnC-7000] BnC Dividend Paid</v>
      </c>
      <c r="J298" s="19">
        <f t="shared" si="4"/>
        <v>500000</v>
      </c>
    </row>
    <row r="299" spans="1:10" x14ac:dyDescent="0.45">
      <c r="A299" s="165" t="s">
        <v>629</v>
      </c>
      <c r="B299" s="165" t="s">
        <v>630</v>
      </c>
      <c r="C299" s="165" t="s">
        <v>0</v>
      </c>
      <c r="D299" s="166">
        <v>44137.02</v>
      </c>
      <c r="E299" s="166"/>
      <c r="F299" s="166"/>
      <c r="G299" s="166">
        <v>15.57</v>
      </c>
      <c r="I299" s="14" t="str">
        <f>VLOOKUP(A299,bnc_Map!A:C,3,FALSE)</f>
        <v>[BnC-9A02] BnC Advertisement</v>
      </c>
      <c r="J299" s="19">
        <f t="shared" si="4"/>
        <v>44137.02</v>
      </c>
    </row>
    <row r="300" spans="1:10" x14ac:dyDescent="0.45">
      <c r="A300" s="165" t="s">
        <v>631</v>
      </c>
      <c r="B300" s="165" t="s">
        <v>632</v>
      </c>
      <c r="C300" s="165" t="s">
        <v>0</v>
      </c>
      <c r="D300" s="166">
        <v>14552.92</v>
      </c>
      <c r="E300" s="166"/>
      <c r="F300" s="166">
        <v>569.61</v>
      </c>
      <c r="G300" s="166"/>
      <c r="I300" s="14" t="str">
        <f>VLOOKUP(A300,bnc_Map!A:C,3,FALSE)</f>
        <v>[BnC-9B01] BnC Bank Charges</v>
      </c>
      <c r="J300" s="19">
        <f t="shared" si="4"/>
        <v>14552.92</v>
      </c>
    </row>
    <row r="301" spans="1:10" x14ac:dyDescent="0.45">
      <c r="A301" s="165" t="s">
        <v>633</v>
      </c>
      <c r="B301" s="165" t="s">
        <v>634</v>
      </c>
      <c r="C301" s="165" t="s">
        <v>0</v>
      </c>
      <c r="D301" s="166">
        <v>12640.01</v>
      </c>
      <c r="E301" s="166"/>
      <c r="F301" s="166">
        <v>545.9</v>
      </c>
      <c r="G301" s="166"/>
      <c r="I301" s="14" t="str">
        <f>VLOOKUP(A301,bnc_Map!A:C,3,FALSE)</f>
        <v>[BnC-9B04] BnC Paypal Charges</v>
      </c>
      <c r="J301" s="19">
        <f t="shared" si="4"/>
        <v>12640.01</v>
      </c>
    </row>
    <row r="302" spans="1:10" x14ac:dyDescent="0.45">
      <c r="A302" s="165" t="s">
        <v>635</v>
      </c>
      <c r="B302" s="165" t="s">
        <v>636</v>
      </c>
      <c r="C302" s="165" t="s">
        <v>0</v>
      </c>
      <c r="D302" s="166">
        <v>1924.28</v>
      </c>
      <c r="E302" s="166"/>
      <c r="F302" s="166">
        <v>193.14</v>
      </c>
      <c r="G302" s="166"/>
      <c r="I302" s="14" t="str">
        <f>VLOOKUP(A302,bnc_Map!A:C,3,FALSE)</f>
        <v>[BnC-9B04] BnC Paypal Charges</v>
      </c>
      <c r="J302" s="19">
        <f t="shared" si="4"/>
        <v>1924.28</v>
      </c>
    </row>
    <row r="303" spans="1:10" x14ac:dyDescent="0.45">
      <c r="A303" s="165" t="s">
        <v>637</v>
      </c>
      <c r="B303" s="165" t="s">
        <v>638</v>
      </c>
      <c r="C303" s="165" t="s">
        <v>0</v>
      </c>
      <c r="D303" s="166">
        <v>20675.23</v>
      </c>
      <c r="E303" s="166"/>
      <c r="F303" s="166">
        <v>2634.63</v>
      </c>
      <c r="G303" s="166"/>
      <c r="I303" s="14" t="str">
        <f>VLOOKUP(A303,bnc_Map!A:C,3,FALSE)</f>
        <v>[BnC-9C01] BnC Credit Card Charges</v>
      </c>
      <c r="J303" s="19">
        <f t="shared" si="4"/>
        <v>20675.23</v>
      </c>
    </row>
    <row r="304" spans="1:10" x14ac:dyDescent="0.45">
      <c r="A304" s="165" t="s">
        <v>639</v>
      </c>
      <c r="B304" s="165" t="s">
        <v>640</v>
      </c>
      <c r="C304" s="165" t="s">
        <v>0</v>
      </c>
      <c r="D304" s="166">
        <v>23686.75</v>
      </c>
      <c r="E304" s="166"/>
      <c r="F304" s="166">
        <v>3022.79</v>
      </c>
      <c r="G304" s="166"/>
      <c r="I304" s="14" t="str">
        <f>VLOOKUP(A304,bnc_Map!A:C,3,FALSE)</f>
        <v>[BnC-9C01] BnC Credit Card Charges</v>
      </c>
      <c r="J304" s="19">
        <f t="shared" si="4"/>
        <v>23686.75</v>
      </c>
    </row>
    <row r="305" spans="1:10" x14ac:dyDescent="0.45">
      <c r="A305" s="165" t="s">
        <v>641</v>
      </c>
      <c r="B305" s="165" t="s">
        <v>642</v>
      </c>
      <c r="C305" s="165" t="s">
        <v>0</v>
      </c>
      <c r="D305" s="166">
        <v>2946.13</v>
      </c>
      <c r="E305" s="166"/>
      <c r="F305" s="166">
        <v>282.06</v>
      </c>
      <c r="G305" s="166"/>
      <c r="I305" s="14" t="str">
        <f>VLOOKUP(A305,bnc_Map!A:C,3,FALSE)</f>
        <v>[BnC-9C01] BnC Credit Card Charges</v>
      </c>
      <c r="J305" s="19">
        <f t="shared" si="4"/>
        <v>2946.13</v>
      </c>
    </row>
    <row r="306" spans="1:10" x14ac:dyDescent="0.45">
      <c r="A306" s="165" t="s">
        <v>643</v>
      </c>
      <c r="B306" s="165" t="s">
        <v>644</v>
      </c>
      <c r="C306" s="165" t="s">
        <v>0</v>
      </c>
      <c r="D306" s="166">
        <v>23540.83</v>
      </c>
      <c r="E306" s="166"/>
      <c r="F306" s="166">
        <v>3130.39</v>
      </c>
      <c r="G306" s="166"/>
      <c r="I306" s="14" t="str">
        <f>VLOOKUP(A306,bnc_Map!A:C,3,FALSE)</f>
        <v>[BnC-9C01] BnC Credit Card Charges</v>
      </c>
      <c r="J306" s="19">
        <f t="shared" si="4"/>
        <v>23540.83</v>
      </c>
    </row>
    <row r="307" spans="1:10" x14ac:dyDescent="0.45">
      <c r="A307" s="165" t="s">
        <v>645</v>
      </c>
      <c r="B307" s="165" t="s">
        <v>646</v>
      </c>
      <c r="C307" s="165" t="s">
        <v>0</v>
      </c>
      <c r="D307" s="166">
        <v>8946.1</v>
      </c>
      <c r="E307" s="166"/>
      <c r="F307" s="166">
        <v>1223.08</v>
      </c>
      <c r="G307" s="166"/>
      <c r="I307" s="14" t="str">
        <f>VLOOKUP(A307,bnc_Map!A:C,3,FALSE)</f>
        <v>[BnC-9C01] BnC Credit Card Charges</v>
      </c>
      <c r="J307" s="19">
        <f t="shared" si="4"/>
        <v>8946.1</v>
      </c>
    </row>
    <row r="308" spans="1:10" x14ac:dyDescent="0.45">
      <c r="A308" s="165" t="s">
        <v>647</v>
      </c>
      <c r="B308" s="165" t="s">
        <v>648</v>
      </c>
      <c r="C308" s="165" t="s">
        <v>0</v>
      </c>
      <c r="D308" s="166">
        <v>15705.91</v>
      </c>
      <c r="E308" s="166"/>
      <c r="F308" s="166">
        <v>1882.34</v>
      </c>
      <c r="G308" s="166"/>
      <c r="I308" s="14" t="str">
        <f>VLOOKUP(A308,bnc_Map!A:C,3,FALSE)</f>
        <v>[BnC-9C01] BnC Credit Card Charges</v>
      </c>
      <c r="J308" s="19">
        <f t="shared" si="4"/>
        <v>15705.91</v>
      </c>
    </row>
    <row r="309" spans="1:10" x14ac:dyDescent="0.45">
      <c r="A309" s="165" t="s">
        <v>649</v>
      </c>
      <c r="B309" s="165" t="s">
        <v>650</v>
      </c>
      <c r="C309" s="165" t="s">
        <v>0</v>
      </c>
      <c r="D309" s="166">
        <v>1710.67</v>
      </c>
      <c r="E309" s="166"/>
      <c r="F309" s="166">
        <v>169.69</v>
      </c>
      <c r="G309" s="166"/>
      <c r="I309" s="14" t="str">
        <f>VLOOKUP(A309,bnc_Map!A:C,3,FALSE)</f>
        <v>[BnC-9C01] BnC Credit Card Charges</v>
      </c>
      <c r="J309" s="19">
        <f t="shared" si="4"/>
        <v>1710.67</v>
      </c>
    </row>
    <row r="310" spans="1:10" x14ac:dyDescent="0.45">
      <c r="A310" s="165" t="s">
        <v>651</v>
      </c>
      <c r="B310" s="165" t="s">
        <v>652</v>
      </c>
      <c r="C310" s="165" t="s">
        <v>0</v>
      </c>
      <c r="D310" s="166">
        <v>3214.65</v>
      </c>
      <c r="E310" s="166"/>
      <c r="F310" s="166">
        <v>338.59</v>
      </c>
      <c r="G310" s="166"/>
      <c r="I310" s="14" t="str">
        <f>VLOOKUP(A310,bnc_Map!A:C,3,FALSE)</f>
        <v>[BnC-9C01] BnC Credit Card Charges</v>
      </c>
      <c r="J310" s="19">
        <f t="shared" si="4"/>
        <v>3214.65</v>
      </c>
    </row>
    <row r="311" spans="1:10" x14ac:dyDescent="0.45">
      <c r="A311" s="165" t="s">
        <v>653</v>
      </c>
      <c r="B311" s="165" t="s">
        <v>654</v>
      </c>
      <c r="C311" s="165" t="s">
        <v>0</v>
      </c>
      <c r="D311" s="166">
        <v>12977.1</v>
      </c>
      <c r="E311" s="166"/>
      <c r="F311" s="166">
        <v>2233.7800000000002</v>
      </c>
      <c r="G311" s="166"/>
      <c r="I311" s="14" t="str">
        <f>VLOOKUP(A311,bnc_Map!A:C,3,FALSE)</f>
        <v>[BnC-9C01] BnC Credit Card Charges</v>
      </c>
      <c r="J311" s="19">
        <f t="shared" si="4"/>
        <v>12977.1</v>
      </c>
    </row>
    <row r="312" spans="1:10" x14ac:dyDescent="0.45">
      <c r="A312" s="165" t="s">
        <v>655</v>
      </c>
      <c r="B312" s="165" t="s">
        <v>656</v>
      </c>
      <c r="C312" s="165" t="s">
        <v>0</v>
      </c>
      <c r="D312" s="166">
        <v>19128.62</v>
      </c>
      <c r="E312" s="166"/>
      <c r="F312" s="166">
        <v>2534.44</v>
      </c>
      <c r="G312" s="166"/>
      <c r="I312" s="14" t="str">
        <f>VLOOKUP(A312,bnc_Map!A:C,3,FALSE)</f>
        <v>[BnC-9C01] BnC Credit Card Charges</v>
      </c>
      <c r="J312" s="19">
        <f t="shared" si="4"/>
        <v>19128.62</v>
      </c>
    </row>
    <row r="313" spans="1:10" x14ac:dyDescent="0.45">
      <c r="A313" s="165" t="s">
        <v>657</v>
      </c>
      <c r="B313" s="165" t="s">
        <v>658</v>
      </c>
      <c r="C313" s="165" t="s">
        <v>0</v>
      </c>
      <c r="D313" s="166">
        <v>37454.410000000003</v>
      </c>
      <c r="E313" s="166"/>
      <c r="F313" s="166">
        <v>4989.3500000000004</v>
      </c>
      <c r="G313" s="166"/>
      <c r="I313" s="14" t="str">
        <f>VLOOKUP(A313,bnc_Map!A:C,3,FALSE)</f>
        <v>[BnC-9C01] BnC Credit Card Charges</v>
      </c>
      <c r="J313" s="19">
        <f t="shared" si="4"/>
        <v>37454.410000000003</v>
      </c>
    </row>
    <row r="314" spans="1:10" x14ac:dyDescent="0.45">
      <c r="A314" s="165" t="s">
        <v>659</v>
      </c>
      <c r="B314" s="165" t="s">
        <v>660</v>
      </c>
      <c r="C314" s="165" t="s">
        <v>0</v>
      </c>
      <c r="D314" s="166">
        <v>11109.35</v>
      </c>
      <c r="E314" s="166"/>
      <c r="F314" s="166">
        <v>1550.27</v>
      </c>
      <c r="G314" s="166"/>
      <c r="I314" s="14" t="str">
        <f>VLOOKUP(A314,bnc_Map!A:C,3,FALSE)</f>
        <v>[BnC-9C01] BnC Credit Card Charges</v>
      </c>
      <c r="J314" s="19">
        <f t="shared" si="4"/>
        <v>11109.35</v>
      </c>
    </row>
    <row r="315" spans="1:10" x14ac:dyDescent="0.45">
      <c r="A315" s="165" t="s">
        <v>663</v>
      </c>
      <c r="B315" s="165" t="s">
        <v>664</v>
      </c>
      <c r="C315" s="165" t="s">
        <v>0</v>
      </c>
      <c r="D315" s="166">
        <v>36780</v>
      </c>
      <c r="E315" s="166"/>
      <c r="F315" s="166">
        <v>3780</v>
      </c>
      <c r="G315" s="166"/>
      <c r="I315" s="14" t="str">
        <f>VLOOKUP(A315,bnc_Map!A:C,3,FALSE)</f>
        <v>[BnC-9C03] BnC Cleaning Contractor</v>
      </c>
      <c r="J315" s="19">
        <f t="shared" si="4"/>
        <v>36780</v>
      </c>
    </row>
    <row r="316" spans="1:10" x14ac:dyDescent="0.45">
      <c r="A316" s="165" t="s">
        <v>665</v>
      </c>
      <c r="B316" s="165" t="s">
        <v>666</v>
      </c>
      <c r="C316" s="165" t="s">
        <v>0</v>
      </c>
      <c r="D316" s="166">
        <v>31352</v>
      </c>
      <c r="E316" s="166"/>
      <c r="F316" s="166">
        <v>3700</v>
      </c>
      <c r="G316" s="166"/>
      <c r="I316" s="14" t="str">
        <f>VLOOKUP(A316,bnc_Map!A:C,3,FALSE)</f>
        <v>[BnC-9C03] BnC Cleaning Contractor</v>
      </c>
      <c r="J316" s="19">
        <f t="shared" si="4"/>
        <v>31352</v>
      </c>
    </row>
    <row r="317" spans="1:10" x14ac:dyDescent="0.45">
      <c r="A317" s="165" t="s">
        <v>667</v>
      </c>
      <c r="B317" s="165" t="s">
        <v>668</v>
      </c>
      <c r="C317" s="165" t="s">
        <v>0</v>
      </c>
      <c r="D317" s="166">
        <v>36700</v>
      </c>
      <c r="E317" s="166"/>
      <c r="F317" s="166">
        <v>3700</v>
      </c>
      <c r="G317" s="166"/>
      <c r="I317" s="14" t="str">
        <f>VLOOKUP(A317,bnc_Map!A:C,3,FALSE)</f>
        <v>[BnC-9C03] BnC Cleaning Contractor</v>
      </c>
      <c r="J317" s="19">
        <f t="shared" si="4"/>
        <v>36700</v>
      </c>
    </row>
    <row r="318" spans="1:10" x14ac:dyDescent="0.45">
      <c r="A318" s="165" t="s">
        <v>669</v>
      </c>
      <c r="B318" s="165" t="s">
        <v>670</v>
      </c>
      <c r="C318" s="165" t="s">
        <v>0</v>
      </c>
      <c r="D318" s="166">
        <v>19330</v>
      </c>
      <c r="E318" s="166"/>
      <c r="F318" s="166">
        <v>2000</v>
      </c>
      <c r="G318" s="166"/>
      <c r="I318" s="14" t="str">
        <f>VLOOKUP(A318,bnc_Map!A:C,3,FALSE)</f>
        <v>[BnC-9C03] BnC Cleaning Contractor</v>
      </c>
      <c r="J318" s="19">
        <f t="shared" si="4"/>
        <v>19330</v>
      </c>
    </row>
    <row r="319" spans="1:10" x14ac:dyDescent="0.45">
      <c r="A319" s="165" t="s">
        <v>671</v>
      </c>
      <c r="B319" s="165" t="s">
        <v>672</v>
      </c>
      <c r="C319" s="165" t="s">
        <v>0</v>
      </c>
      <c r="D319" s="166">
        <v>447.15</v>
      </c>
      <c r="E319" s="166"/>
      <c r="F319" s="166"/>
      <c r="G319" s="166"/>
      <c r="I319" s="14" t="str">
        <f>VLOOKUP(A319,bnc_Map!A:C,3,FALSE)</f>
        <v>[BnC-9C03] BnC Cleaning Contractor</v>
      </c>
      <c r="J319" s="19">
        <f t="shared" si="4"/>
        <v>447.15</v>
      </c>
    </row>
    <row r="320" spans="1:10" x14ac:dyDescent="0.45">
      <c r="A320" s="165" t="s">
        <v>673</v>
      </c>
      <c r="B320" s="165" t="s">
        <v>674</v>
      </c>
      <c r="C320" s="165" t="s">
        <v>0</v>
      </c>
      <c r="D320" s="166">
        <v>19180</v>
      </c>
      <c r="E320" s="166"/>
      <c r="F320" s="166">
        <v>2000</v>
      </c>
      <c r="G320" s="166"/>
      <c r="I320" s="14" t="str">
        <f>VLOOKUP(A320,bnc_Map!A:C,3,FALSE)</f>
        <v>[BnC-9C03] BnC Cleaning Contractor</v>
      </c>
      <c r="J320" s="19">
        <f t="shared" si="4"/>
        <v>19180</v>
      </c>
    </row>
    <row r="321" spans="1:10" x14ac:dyDescent="0.45">
      <c r="A321" s="165" t="s">
        <v>675</v>
      </c>
      <c r="B321" s="165" t="s">
        <v>676</v>
      </c>
      <c r="C321" s="165" t="s">
        <v>0</v>
      </c>
      <c r="D321" s="166">
        <v>20595</v>
      </c>
      <c r="E321" s="166"/>
      <c r="F321" s="166">
        <v>2300</v>
      </c>
      <c r="G321" s="166"/>
      <c r="I321" s="14" t="str">
        <f>VLOOKUP(A321,bnc_Map!A:C,3,FALSE)</f>
        <v>[BnC-9C03] BnC Cleaning Contractor</v>
      </c>
      <c r="J321" s="19">
        <f t="shared" si="4"/>
        <v>20595</v>
      </c>
    </row>
    <row r="322" spans="1:10" x14ac:dyDescent="0.45">
      <c r="A322" s="165" t="s">
        <v>677</v>
      </c>
      <c r="B322" s="165" t="s">
        <v>678</v>
      </c>
      <c r="C322" s="165" t="s">
        <v>0</v>
      </c>
      <c r="D322" s="166">
        <v>56122</v>
      </c>
      <c r="E322" s="166"/>
      <c r="F322" s="166">
        <v>7700</v>
      </c>
      <c r="G322" s="166"/>
      <c r="I322" s="14" t="str">
        <f>VLOOKUP(A322,bnc_Map!A:C,3,FALSE)</f>
        <v>[BnC-9C03] BnC Cleaning Contractor</v>
      </c>
      <c r="J322" s="19">
        <f t="shared" si="4"/>
        <v>56122</v>
      </c>
    </row>
    <row r="323" spans="1:10" x14ac:dyDescent="0.45">
      <c r="A323" s="165" t="s">
        <v>679</v>
      </c>
      <c r="B323" s="165" t="s">
        <v>680</v>
      </c>
      <c r="C323" s="165" t="s">
        <v>0</v>
      </c>
      <c r="D323" s="166">
        <v>19080</v>
      </c>
      <c r="E323" s="166"/>
      <c r="F323" s="166">
        <v>2000</v>
      </c>
      <c r="G323" s="166"/>
      <c r="I323" s="14" t="str">
        <f>VLOOKUP(A323,bnc_Map!A:C,3,FALSE)</f>
        <v>[BnC-9C03] BnC Cleaning Contractor</v>
      </c>
      <c r="J323" s="19">
        <f t="shared" si="4"/>
        <v>19080</v>
      </c>
    </row>
    <row r="324" spans="1:10" x14ac:dyDescent="0.45">
      <c r="A324" s="165" t="s">
        <v>681</v>
      </c>
      <c r="B324" s="165" t="s">
        <v>682</v>
      </c>
      <c r="C324" s="165" t="s">
        <v>0</v>
      </c>
      <c r="D324" s="166">
        <v>19170</v>
      </c>
      <c r="E324" s="166"/>
      <c r="F324" s="166">
        <v>3950</v>
      </c>
      <c r="G324" s="166"/>
      <c r="I324" s="14" t="str">
        <f>VLOOKUP(A324,bnc_Map!A:C,3,FALSE)</f>
        <v>[BnC-9C03] BnC Cleaning Contractor</v>
      </c>
      <c r="J324" s="19">
        <f t="shared" si="4"/>
        <v>19170</v>
      </c>
    </row>
    <row r="325" spans="1:10" x14ac:dyDescent="0.45">
      <c r="A325" s="165" t="s">
        <v>687</v>
      </c>
      <c r="B325" s="165" t="s">
        <v>688</v>
      </c>
      <c r="C325" s="165" t="s">
        <v>0</v>
      </c>
      <c r="D325" s="166">
        <v>130245.19</v>
      </c>
      <c r="E325" s="166"/>
      <c r="F325" s="166">
        <v>18829.62</v>
      </c>
      <c r="G325" s="166"/>
      <c r="I325" s="14" t="str">
        <f>VLOOKUP(A325,bnc_Map!A:C,3,FALSE)</f>
        <v>[BnC-9C06] BnC Delivery Commission</v>
      </c>
      <c r="J325" s="19">
        <f t="shared" si="4"/>
        <v>130245.19</v>
      </c>
    </row>
    <row r="326" spans="1:10" x14ac:dyDescent="0.45">
      <c r="A326" s="165" t="s">
        <v>689</v>
      </c>
      <c r="B326" s="165" t="s">
        <v>690</v>
      </c>
      <c r="C326" s="165" t="s">
        <v>0</v>
      </c>
      <c r="D326" s="166">
        <v>77381.37</v>
      </c>
      <c r="E326" s="166"/>
      <c r="F326" s="166">
        <v>9665.9</v>
      </c>
      <c r="G326" s="166"/>
      <c r="I326" s="14" t="str">
        <f>VLOOKUP(A326,bnc_Map!A:C,3,FALSE)</f>
        <v>[BnC-9C06] BnC Delivery Commission</v>
      </c>
      <c r="J326" s="19">
        <f t="shared" ref="J326:J389" si="5">D326-E326</f>
        <v>77381.37</v>
      </c>
    </row>
    <row r="327" spans="1:10" x14ac:dyDescent="0.45">
      <c r="A327" s="165" t="s">
        <v>691</v>
      </c>
      <c r="B327" s="165" t="s">
        <v>692</v>
      </c>
      <c r="C327" s="165" t="s">
        <v>0</v>
      </c>
      <c r="D327" s="166">
        <v>15401.2</v>
      </c>
      <c r="E327" s="166"/>
      <c r="F327" s="166">
        <v>2909.07</v>
      </c>
      <c r="G327" s="166"/>
      <c r="I327" s="14" t="str">
        <f>VLOOKUP(A327,bnc_Map!A:C,3,FALSE)</f>
        <v>[BnC-9C06] BnC Delivery Commission</v>
      </c>
      <c r="J327" s="19">
        <f t="shared" si="5"/>
        <v>15401.2</v>
      </c>
    </row>
    <row r="328" spans="1:10" x14ac:dyDescent="0.45">
      <c r="A328" s="165" t="s">
        <v>693</v>
      </c>
      <c r="B328" s="165" t="s">
        <v>694</v>
      </c>
      <c r="C328" s="165" t="s">
        <v>0</v>
      </c>
      <c r="D328" s="166">
        <v>28944.21</v>
      </c>
      <c r="E328" s="166"/>
      <c r="F328" s="166">
        <v>2875.9</v>
      </c>
      <c r="G328" s="166"/>
      <c r="I328" s="14" t="str">
        <f>VLOOKUP(A328,bnc_Map!A:C,3,FALSE)</f>
        <v>[BnC-9C06] BnC Delivery Commission</v>
      </c>
      <c r="J328" s="19">
        <f t="shared" si="5"/>
        <v>28944.21</v>
      </c>
    </row>
    <row r="329" spans="1:10" x14ac:dyDescent="0.45">
      <c r="A329" s="165" t="s">
        <v>695</v>
      </c>
      <c r="B329" s="165" t="s">
        <v>696</v>
      </c>
      <c r="C329" s="165" t="s">
        <v>0</v>
      </c>
      <c r="D329" s="166">
        <v>2844.54</v>
      </c>
      <c r="E329" s="166"/>
      <c r="F329" s="166">
        <v>319.48</v>
      </c>
      <c r="G329" s="166"/>
      <c r="I329" s="14" t="str">
        <f>VLOOKUP(A329,bnc_Map!A:C,3,FALSE)</f>
        <v>[BnC-9C06] BnC Delivery Commission</v>
      </c>
      <c r="J329" s="19">
        <f t="shared" si="5"/>
        <v>2844.54</v>
      </c>
    </row>
    <row r="330" spans="1:10" x14ac:dyDescent="0.45">
      <c r="A330" s="165" t="s">
        <v>697</v>
      </c>
      <c r="B330" s="165" t="s">
        <v>698</v>
      </c>
      <c r="C330" s="165" t="s">
        <v>0</v>
      </c>
      <c r="D330" s="166">
        <v>23819.01</v>
      </c>
      <c r="E330" s="166"/>
      <c r="F330" s="166">
        <v>3065.66</v>
      </c>
      <c r="G330" s="166"/>
      <c r="I330" s="14" t="str">
        <f>VLOOKUP(A330,bnc_Map!A:C,3,FALSE)</f>
        <v>[BnC-9C06] BnC Delivery Commission</v>
      </c>
      <c r="J330" s="19">
        <f t="shared" si="5"/>
        <v>23819.01</v>
      </c>
    </row>
    <row r="331" spans="1:10" x14ac:dyDescent="0.45">
      <c r="A331" s="165" t="s">
        <v>699</v>
      </c>
      <c r="B331" s="165" t="s">
        <v>700</v>
      </c>
      <c r="C331" s="165" t="s">
        <v>0</v>
      </c>
      <c r="D331" s="166">
        <v>84308.73</v>
      </c>
      <c r="E331" s="166"/>
      <c r="F331" s="166">
        <v>10883.4</v>
      </c>
      <c r="G331" s="166"/>
      <c r="I331" s="14" t="str">
        <f>VLOOKUP(A331,bnc_Map!A:C,3,FALSE)</f>
        <v>[BnC-9C06] BnC Delivery Commission</v>
      </c>
      <c r="J331" s="19">
        <f t="shared" si="5"/>
        <v>84308.73</v>
      </c>
    </row>
    <row r="332" spans="1:10" x14ac:dyDescent="0.45">
      <c r="A332" s="165" t="s">
        <v>701</v>
      </c>
      <c r="B332" s="165" t="s">
        <v>702</v>
      </c>
      <c r="C332" s="165" t="s">
        <v>0</v>
      </c>
      <c r="D332" s="166">
        <v>98629.52</v>
      </c>
      <c r="E332" s="166"/>
      <c r="F332" s="166">
        <v>14106.83</v>
      </c>
      <c r="G332" s="166"/>
      <c r="I332" s="14" t="str">
        <f>VLOOKUP(A332,bnc_Map!A:C,3,FALSE)</f>
        <v>[BnC-9C06] BnC Delivery Commission</v>
      </c>
      <c r="J332" s="19">
        <f t="shared" si="5"/>
        <v>98629.52</v>
      </c>
    </row>
    <row r="333" spans="1:10" x14ac:dyDescent="0.45">
      <c r="A333" s="165" t="s">
        <v>703</v>
      </c>
      <c r="B333" s="165" t="s">
        <v>704</v>
      </c>
      <c r="C333" s="165" t="s">
        <v>0</v>
      </c>
      <c r="D333" s="166">
        <v>58462.22</v>
      </c>
      <c r="E333" s="166"/>
      <c r="F333" s="166">
        <v>7564.07</v>
      </c>
      <c r="G333" s="166"/>
      <c r="I333" s="14" t="str">
        <f>VLOOKUP(A333,bnc_Map!A:C,3,FALSE)</f>
        <v>[BnC-9C06] BnC Delivery Commission</v>
      </c>
      <c r="J333" s="19">
        <f t="shared" si="5"/>
        <v>58462.22</v>
      </c>
    </row>
    <row r="334" spans="1:10" x14ac:dyDescent="0.45">
      <c r="A334" s="165" t="s">
        <v>705</v>
      </c>
      <c r="B334" s="165" t="s">
        <v>706</v>
      </c>
      <c r="C334" s="165" t="s">
        <v>0</v>
      </c>
      <c r="D334" s="166">
        <v>37311.230000000003</v>
      </c>
      <c r="E334" s="166"/>
      <c r="F334" s="166">
        <v>5788.31</v>
      </c>
      <c r="G334" s="166"/>
      <c r="I334" s="14" t="str">
        <f>VLOOKUP(A334,bnc_Map!A:C,3,FALSE)</f>
        <v>[BnC-9C06] BnC Delivery Commission</v>
      </c>
      <c r="J334" s="19">
        <f t="shared" si="5"/>
        <v>37311.230000000003</v>
      </c>
    </row>
    <row r="335" spans="1:10" x14ac:dyDescent="0.45">
      <c r="A335" s="165" t="s">
        <v>707</v>
      </c>
      <c r="B335" s="165" t="s">
        <v>708</v>
      </c>
      <c r="C335" s="165" t="s">
        <v>0</v>
      </c>
      <c r="D335" s="166">
        <v>36256.480000000003</v>
      </c>
      <c r="E335" s="166"/>
      <c r="F335" s="166">
        <v>6672.8</v>
      </c>
      <c r="G335" s="166"/>
      <c r="I335" s="14" t="str">
        <f>VLOOKUP(A335,bnc_Map!A:C,3,FALSE)</f>
        <v>[BnC-9C06] BnC Delivery Commission</v>
      </c>
      <c r="J335" s="19">
        <f t="shared" si="5"/>
        <v>36256.480000000003</v>
      </c>
    </row>
    <row r="336" spans="1:10" x14ac:dyDescent="0.45">
      <c r="A336" s="165" t="s">
        <v>709</v>
      </c>
      <c r="B336" s="165" t="s">
        <v>710</v>
      </c>
      <c r="C336" s="165" t="s">
        <v>0</v>
      </c>
      <c r="D336" s="166">
        <v>1118.04</v>
      </c>
      <c r="E336" s="166"/>
      <c r="F336" s="166"/>
      <c r="G336" s="166"/>
      <c r="I336" s="14" t="str">
        <f>VLOOKUP(A336,bnc_Map!A:C,3,FALSE)</f>
        <v>[BnC-9C06] BnC Delivery Commission</v>
      </c>
      <c r="J336" s="19">
        <f t="shared" si="5"/>
        <v>1118.04</v>
      </c>
    </row>
    <row r="337" spans="1:10" x14ac:dyDescent="0.45">
      <c r="A337" s="165" t="s">
        <v>711</v>
      </c>
      <c r="B337" s="165" t="s">
        <v>712</v>
      </c>
      <c r="C337" s="165" t="s">
        <v>0</v>
      </c>
      <c r="D337" s="166">
        <v>163000</v>
      </c>
      <c r="E337" s="166"/>
      <c r="F337" s="166">
        <v>11500</v>
      </c>
      <c r="G337" s="166"/>
      <c r="I337" s="14" t="str">
        <f>VLOOKUP(A337,bnc_Map!A:C,3,FALSE)</f>
        <v>[BnC-9D01] BnC Director Remuneration</v>
      </c>
      <c r="J337" s="19">
        <f t="shared" si="5"/>
        <v>163000</v>
      </c>
    </row>
    <row r="338" spans="1:10" x14ac:dyDescent="0.45">
      <c r="A338" s="165" t="s">
        <v>713</v>
      </c>
      <c r="B338" s="165" t="s">
        <v>714</v>
      </c>
      <c r="C338" s="165" t="s">
        <v>0</v>
      </c>
      <c r="D338" s="166">
        <v>103500</v>
      </c>
      <c r="E338" s="166"/>
      <c r="F338" s="166"/>
      <c r="G338" s="166"/>
      <c r="I338" s="14" t="str">
        <f>VLOOKUP(A338,bnc_Map!A:C,3,FALSE)</f>
        <v>[BnC-9D01] BnC Director Salary</v>
      </c>
      <c r="J338" s="19">
        <f t="shared" si="5"/>
        <v>103500</v>
      </c>
    </row>
    <row r="339" spans="1:10" x14ac:dyDescent="0.45">
      <c r="A339" s="165" t="s">
        <v>715</v>
      </c>
      <c r="B339" s="165" t="s">
        <v>716</v>
      </c>
      <c r="C339" s="165" t="s">
        <v>0</v>
      </c>
      <c r="D339" s="166">
        <v>2805</v>
      </c>
      <c r="E339" s="166"/>
      <c r="F339" s="166">
        <v>255</v>
      </c>
      <c r="G339" s="166"/>
      <c r="I339" s="14" t="str">
        <f>VLOOKUP(A339,bnc_Map!A:C,3,FALSE)</f>
        <v>[BnC-9D01] BnC Director CPF</v>
      </c>
      <c r="J339" s="19">
        <f t="shared" si="5"/>
        <v>2805</v>
      </c>
    </row>
    <row r="340" spans="1:10" x14ac:dyDescent="0.45">
      <c r="A340" s="165" t="s">
        <v>717</v>
      </c>
      <c r="B340" s="165" t="s">
        <v>718</v>
      </c>
      <c r="C340" s="165" t="s">
        <v>0</v>
      </c>
      <c r="D340" s="166">
        <v>177733.17</v>
      </c>
      <c r="E340" s="166"/>
      <c r="F340" s="166">
        <v>23319.13</v>
      </c>
      <c r="G340" s="166"/>
      <c r="I340" s="14" t="str">
        <f>VLOOKUP(A340,bnc_Map!A:C,3,FALSE)</f>
        <v>[BnC-9D02] BnC Depreciation</v>
      </c>
      <c r="J340" s="19">
        <f t="shared" si="5"/>
        <v>177733.17</v>
      </c>
    </row>
    <row r="341" spans="1:10" x14ac:dyDescent="0.45">
      <c r="A341" s="165" t="s">
        <v>719</v>
      </c>
      <c r="B341" s="165" t="s">
        <v>720</v>
      </c>
      <c r="C341" s="165" t="s">
        <v>0</v>
      </c>
      <c r="D341" s="166">
        <v>17961.330000000002</v>
      </c>
      <c r="E341" s="166"/>
      <c r="F341" s="166">
        <v>1300.49</v>
      </c>
      <c r="G341" s="166"/>
      <c r="I341" s="14" t="str">
        <f>VLOOKUP(A341,bnc_Map!A:C,3,FALSE)</f>
        <v>[BnC-9D02] BnC Depreciation</v>
      </c>
      <c r="J341" s="19">
        <f t="shared" si="5"/>
        <v>17961.330000000002</v>
      </c>
    </row>
    <row r="342" spans="1:10" x14ac:dyDescent="0.45">
      <c r="A342" s="165" t="s">
        <v>721</v>
      </c>
      <c r="B342" s="165" t="s">
        <v>722</v>
      </c>
      <c r="C342" s="165" t="s">
        <v>0</v>
      </c>
      <c r="D342" s="166">
        <v>4571.38</v>
      </c>
      <c r="E342" s="166"/>
      <c r="F342" s="166">
        <v>451.47</v>
      </c>
      <c r="G342" s="166"/>
      <c r="I342" s="14" t="str">
        <f>VLOOKUP(A342,bnc_Map!A:C,3,FALSE)</f>
        <v>[BnC-9D02] BnC Depreciation</v>
      </c>
      <c r="J342" s="19">
        <f t="shared" si="5"/>
        <v>4571.38</v>
      </c>
    </row>
    <row r="343" spans="1:10" x14ac:dyDescent="0.45">
      <c r="A343" s="165" t="s">
        <v>723</v>
      </c>
      <c r="B343" s="165" t="s">
        <v>724</v>
      </c>
      <c r="C343" s="165" t="s">
        <v>0</v>
      </c>
      <c r="D343" s="166">
        <v>1340.37</v>
      </c>
      <c r="E343" s="166"/>
      <c r="F343" s="166">
        <v>148.93</v>
      </c>
      <c r="G343" s="166"/>
      <c r="I343" s="14" t="str">
        <f>VLOOKUP(A343,bnc_Map!A:C,3,FALSE)</f>
        <v>[BnC-9D02] BnC Depreciation</v>
      </c>
      <c r="J343" s="19">
        <f t="shared" si="5"/>
        <v>1340.37</v>
      </c>
    </row>
    <row r="344" spans="1:10" x14ac:dyDescent="0.45">
      <c r="A344" s="165" t="s">
        <v>725</v>
      </c>
      <c r="B344" s="165" t="s">
        <v>726</v>
      </c>
      <c r="C344" s="165" t="s">
        <v>0</v>
      </c>
      <c r="D344" s="166">
        <v>18316.689999999999</v>
      </c>
      <c r="E344" s="166"/>
      <c r="F344" s="166">
        <v>2062.35</v>
      </c>
      <c r="G344" s="166"/>
      <c r="I344" s="14" t="str">
        <f>VLOOKUP(A344,bnc_Map!A:C,3,FALSE)</f>
        <v>[BnC-9D02] BnC Depreciation</v>
      </c>
      <c r="J344" s="19">
        <f t="shared" si="5"/>
        <v>18316.689999999999</v>
      </c>
    </row>
    <row r="345" spans="1:10" x14ac:dyDescent="0.45">
      <c r="A345" s="165" t="s">
        <v>727</v>
      </c>
      <c r="B345" s="165" t="s">
        <v>728</v>
      </c>
      <c r="C345" s="165" t="s">
        <v>0</v>
      </c>
      <c r="D345" s="166">
        <v>6169.5</v>
      </c>
      <c r="E345" s="166"/>
      <c r="F345" s="166">
        <v>685.5</v>
      </c>
      <c r="G345" s="166"/>
      <c r="I345" s="14" t="str">
        <f>VLOOKUP(A345,bnc_Map!A:C,3,FALSE)</f>
        <v>[BnC-9D02] BnC Depreciation</v>
      </c>
      <c r="J345" s="19">
        <f t="shared" si="5"/>
        <v>6169.5</v>
      </c>
    </row>
    <row r="346" spans="1:10" x14ac:dyDescent="0.45">
      <c r="A346" s="165" t="s">
        <v>729</v>
      </c>
      <c r="B346" s="165" t="s">
        <v>730</v>
      </c>
      <c r="C346" s="165" t="s">
        <v>0</v>
      </c>
      <c r="D346" s="166">
        <v>8949.5400000000009</v>
      </c>
      <c r="E346" s="166"/>
      <c r="F346" s="166">
        <v>949.49</v>
      </c>
      <c r="G346" s="166"/>
      <c r="I346" s="14" t="str">
        <f>VLOOKUP(A346,bnc_Map!A:C,3,FALSE)</f>
        <v>[BnC-9D02] BnC Depreciation</v>
      </c>
      <c r="J346" s="19">
        <f t="shared" si="5"/>
        <v>8949.5400000000009</v>
      </c>
    </row>
    <row r="347" spans="1:10" x14ac:dyDescent="0.45">
      <c r="A347" s="165" t="s">
        <v>731</v>
      </c>
      <c r="B347" s="165" t="s">
        <v>732</v>
      </c>
      <c r="C347" s="165" t="s">
        <v>0</v>
      </c>
      <c r="D347" s="166">
        <v>3051.45</v>
      </c>
      <c r="E347" s="166"/>
      <c r="F347" s="166">
        <v>339.05</v>
      </c>
      <c r="G347" s="166"/>
      <c r="I347" s="14" t="str">
        <f>VLOOKUP(A347,bnc_Map!A:C,3,FALSE)</f>
        <v>[BnC-9D02] BnC Depreciation</v>
      </c>
      <c r="J347" s="19">
        <f t="shared" si="5"/>
        <v>3051.45</v>
      </c>
    </row>
    <row r="348" spans="1:10" x14ac:dyDescent="0.45">
      <c r="A348" s="165" t="s">
        <v>733</v>
      </c>
      <c r="B348" s="165" t="s">
        <v>734</v>
      </c>
      <c r="C348" s="165" t="s">
        <v>0</v>
      </c>
      <c r="D348" s="166">
        <v>17502.57</v>
      </c>
      <c r="E348" s="166"/>
      <c r="F348" s="166">
        <v>1995.03</v>
      </c>
      <c r="G348" s="166"/>
      <c r="I348" s="14" t="str">
        <f>VLOOKUP(A348,bnc_Map!A:C,3,FALSE)</f>
        <v>[BnC-9D02] BnC Depreciation</v>
      </c>
      <c r="J348" s="19">
        <f t="shared" si="5"/>
        <v>17502.57</v>
      </c>
    </row>
    <row r="349" spans="1:10" x14ac:dyDescent="0.45">
      <c r="A349" s="165" t="s">
        <v>735</v>
      </c>
      <c r="B349" s="165" t="s">
        <v>736</v>
      </c>
      <c r="C349" s="165" t="s">
        <v>0</v>
      </c>
      <c r="D349" s="166">
        <v>97394.49</v>
      </c>
      <c r="E349" s="166"/>
      <c r="F349" s="166">
        <v>4591.82</v>
      </c>
      <c r="G349" s="166"/>
      <c r="I349" s="14" t="str">
        <f>VLOOKUP(A349,bnc_Map!A:C,3,FALSE)</f>
        <v>[BnC-9D02] BnC Depreciation</v>
      </c>
      <c r="J349" s="19">
        <f t="shared" si="5"/>
        <v>97394.49</v>
      </c>
    </row>
    <row r="350" spans="1:10" x14ac:dyDescent="0.45">
      <c r="A350" s="165" t="s">
        <v>737</v>
      </c>
      <c r="B350" s="165" t="s">
        <v>738</v>
      </c>
      <c r="C350" s="165" t="s">
        <v>0</v>
      </c>
      <c r="D350" s="166">
        <v>101267.77</v>
      </c>
      <c r="E350" s="166"/>
      <c r="F350" s="166">
        <v>11254.97</v>
      </c>
      <c r="G350" s="166"/>
      <c r="I350" s="14" t="str">
        <f>VLOOKUP(A350,bnc_Map!A:C,3,FALSE)</f>
        <v>[BnC-9D02] BnC Depreciation</v>
      </c>
      <c r="J350" s="19">
        <f t="shared" si="5"/>
        <v>101267.77</v>
      </c>
    </row>
    <row r="351" spans="1:10" x14ac:dyDescent="0.45">
      <c r="A351" s="165" t="s">
        <v>739</v>
      </c>
      <c r="B351" s="165" t="s">
        <v>740</v>
      </c>
      <c r="C351" s="165" t="s">
        <v>0</v>
      </c>
      <c r="D351" s="166">
        <v>101527.11</v>
      </c>
      <c r="E351" s="166"/>
      <c r="F351" s="166">
        <v>11369.68</v>
      </c>
      <c r="G351" s="166"/>
      <c r="I351" s="14" t="str">
        <f>VLOOKUP(A351,bnc_Map!A:C,3,FALSE)</f>
        <v>[BnC-9D02] BnC Depreciation</v>
      </c>
      <c r="J351" s="19">
        <f t="shared" si="5"/>
        <v>101527.11</v>
      </c>
    </row>
    <row r="352" spans="1:10" x14ac:dyDescent="0.45">
      <c r="A352" s="165" t="s">
        <v>741</v>
      </c>
      <c r="B352" s="165" t="s">
        <v>742</v>
      </c>
      <c r="C352" s="165" t="s">
        <v>0</v>
      </c>
      <c r="D352" s="166">
        <v>167713.57999999999</v>
      </c>
      <c r="E352" s="166"/>
      <c r="F352" s="166">
        <v>18051.13</v>
      </c>
      <c r="G352" s="166"/>
      <c r="I352" s="14" t="str">
        <f>VLOOKUP(A352,bnc_Map!A:C,3,FALSE)</f>
        <v>[BnC-9D02] BnC Depreciation</v>
      </c>
      <c r="J352" s="19">
        <f t="shared" si="5"/>
        <v>167713.57999999999</v>
      </c>
    </row>
    <row r="353" spans="1:10" x14ac:dyDescent="0.45">
      <c r="A353" s="165" t="s">
        <v>743</v>
      </c>
      <c r="B353" s="165" t="s">
        <v>744</v>
      </c>
      <c r="C353" s="165" t="s">
        <v>0</v>
      </c>
      <c r="D353" s="166">
        <v>97701.7</v>
      </c>
      <c r="E353" s="166"/>
      <c r="F353" s="166">
        <v>10922.11</v>
      </c>
      <c r="G353" s="166"/>
      <c r="I353" s="14" t="str">
        <f>VLOOKUP(A353,bnc_Map!A:C,3,FALSE)</f>
        <v>[BnC-9D02] BnC Depreciation</v>
      </c>
      <c r="J353" s="19">
        <f t="shared" si="5"/>
        <v>97701.7</v>
      </c>
    </row>
    <row r="354" spans="1:10" x14ac:dyDescent="0.45">
      <c r="A354" s="165" t="s">
        <v>747</v>
      </c>
      <c r="B354" s="165" t="s">
        <v>748</v>
      </c>
      <c r="C354" s="165" t="s">
        <v>0</v>
      </c>
      <c r="D354" s="166">
        <v>10934.4</v>
      </c>
      <c r="E354" s="166"/>
      <c r="F354" s="166"/>
      <c r="G354" s="166"/>
      <c r="I354" s="14" t="str">
        <f>VLOOKUP(A354,bnc_Map!A:C,3,FALSE)</f>
        <v>[BnC-9D03] BnC Donation</v>
      </c>
      <c r="J354" s="19">
        <f t="shared" si="5"/>
        <v>10934.4</v>
      </c>
    </row>
    <row r="355" spans="1:10" x14ac:dyDescent="0.45">
      <c r="A355" s="165" t="s">
        <v>749</v>
      </c>
      <c r="B355" s="165" t="s">
        <v>750</v>
      </c>
      <c r="C355" s="165" t="s">
        <v>0</v>
      </c>
      <c r="D355" s="166">
        <v>1184.93</v>
      </c>
      <c r="E355" s="166"/>
      <c r="F355" s="166"/>
      <c r="G355" s="166"/>
      <c r="I355" s="14" t="str">
        <f>VLOOKUP(A355,bnc_Map!A:C,3,FALSE)</f>
        <v>[BnC-9E01] BnC Entertainment</v>
      </c>
      <c r="J355" s="19">
        <f t="shared" si="5"/>
        <v>1184.93</v>
      </c>
    </row>
    <row r="356" spans="1:10" x14ac:dyDescent="0.45">
      <c r="A356" s="165" t="s">
        <v>751</v>
      </c>
      <c r="B356" s="165" t="s">
        <v>752</v>
      </c>
      <c r="C356" s="165" t="s">
        <v>0</v>
      </c>
      <c r="D356" s="166">
        <v>48103.54</v>
      </c>
      <c r="E356" s="166"/>
      <c r="F356" s="166">
        <v>5278.05</v>
      </c>
      <c r="G356" s="166"/>
      <c r="I356" s="14" t="str">
        <f>VLOOKUP(A356,bnc_Map!A:C,3,FALSE)</f>
        <v>[BnC-9I01] BnC Insurance</v>
      </c>
      <c r="J356" s="19">
        <f t="shared" si="5"/>
        <v>48103.54</v>
      </c>
    </row>
    <row r="357" spans="1:10" x14ac:dyDescent="0.45">
      <c r="A357" s="165" t="s">
        <v>753</v>
      </c>
      <c r="B357" s="165" t="s">
        <v>754</v>
      </c>
      <c r="C357" s="165" t="s">
        <v>0</v>
      </c>
      <c r="D357" s="166">
        <v>18905.2</v>
      </c>
      <c r="E357" s="166"/>
      <c r="F357" s="166">
        <v>1229.8699999999999</v>
      </c>
      <c r="G357" s="166"/>
      <c r="I357" s="14" t="str">
        <f>VLOOKUP(A357,bnc_Map!A:C,3,FALSE)</f>
        <v>[BnC-9I02] BnC IT &amp; Webpage Expense</v>
      </c>
      <c r="J357" s="19">
        <f t="shared" si="5"/>
        <v>18905.2</v>
      </c>
    </row>
    <row r="358" spans="1:10" x14ac:dyDescent="0.45">
      <c r="A358" s="165" t="s">
        <v>755</v>
      </c>
      <c r="B358" s="165" t="s">
        <v>756</v>
      </c>
      <c r="C358" s="165" t="s">
        <v>0</v>
      </c>
      <c r="D358" s="166">
        <v>41643.839999999997</v>
      </c>
      <c r="E358" s="166"/>
      <c r="F358" s="166">
        <v>4246.58</v>
      </c>
      <c r="G358" s="166"/>
      <c r="I358" s="14" t="str">
        <f>VLOOKUP(A358,bnc_Map!A:C,3,FALSE)</f>
        <v>[BnC-9I04] BnC Loan Interest</v>
      </c>
      <c r="J358" s="19">
        <f t="shared" si="5"/>
        <v>41643.839999999997</v>
      </c>
    </row>
    <row r="359" spans="1:10" x14ac:dyDescent="0.45">
      <c r="A359" s="165" t="s">
        <v>757</v>
      </c>
      <c r="B359" s="165" t="s">
        <v>758</v>
      </c>
      <c r="C359" s="165" t="s">
        <v>0</v>
      </c>
      <c r="D359" s="166">
        <v>47487.7</v>
      </c>
      <c r="E359" s="166"/>
      <c r="F359" s="166">
        <v>15204.98</v>
      </c>
      <c r="G359" s="166"/>
      <c r="I359" s="14" t="str">
        <f>VLOOKUP(A359,bnc_Map!A:C,3,FALSE)</f>
        <v>[BnC-9L01] BnC Legal and Professional Fee</v>
      </c>
      <c r="J359" s="19">
        <f t="shared" si="5"/>
        <v>47487.7</v>
      </c>
    </row>
    <row r="360" spans="1:10" x14ac:dyDescent="0.45">
      <c r="A360" s="165" t="s">
        <v>759</v>
      </c>
      <c r="B360" s="165" t="s">
        <v>760</v>
      </c>
      <c r="C360" s="165" t="s">
        <v>0</v>
      </c>
      <c r="D360" s="166">
        <v>11295</v>
      </c>
      <c r="E360" s="166"/>
      <c r="F360" s="166">
        <v>990</v>
      </c>
      <c r="G360" s="166"/>
      <c r="I360" s="14" t="str">
        <f>VLOOKUP(A360,bnc_Map!A:C,3,FALSE)</f>
        <v>[BnC-9L02] BnC License</v>
      </c>
      <c r="J360" s="19">
        <f t="shared" si="5"/>
        <v>11295</v>
      </c>
    </row>
    <row r="361" spans="1:10" x14ac:dyDescent="0.45">
      <c r="A361" s="165" t="s">
        <v>761</v>
      </c>
      <c r="B361" s="165" t="s">
        <v>762</v>
      </c>
      <c r="C361" s="165" t="s">
        <v>0</v>
      </c>
      <c r="D361" s="166">
        <v>125000</v>
      </c>
      <c r="E361" s="166"/>
      <c r="F361" s="166">
        <v>12500</v>
      </c>
      <c r="G361" s="166"/>
      <c r="I361" s="14" t="str">
        <f>VLOOKUP(A361,bnc_Map!A:C,3,FALSE)</f>
        <v>[BnC-9L03] BnC Trademark License Fee</v>
      </c>
      <c r="J361" s="19">
        <f t="shared" si="5"/>
        <v>125000</v>
      </c>
    </row>
    <row r="362" spans="1:10" x14ac:dyDescent="0.45">
      <c r="A362" s="165" t="s">
        <v>763</v>
      </c>
      <c r="B362" s="165" t="s">
        <v>764</v>
      </c>
      <c r="C362" s="165" t="s">
        <v>0</v>
      </c>
      <c r="D362" s="166">
        <v>8359.91</v>
      </c>
      <c r="E362" s="166"/>
      <c r="F362" s="166">
        <v>768.79</v>
      </c>
      <c r="G362" s="166"/>
      <c r="I362" s="14" t="str">
        <f>VLOOKUP(A362,bnc_Map!A:C,3,FALSE)</f>
        <v>[BnC-9M02] BnC Medical Fee</v>
      </c>
      <c r="J362" s="19">
        <f t="shared" si="5"/>
        <v>8359.91</v>
      </c>
    </row>
    <row r="363" spans="1:10" x14ac:dyDescent="0.45">
      <c r="A363" s="165" t="s">
        <v>765</v>
      </c>
      <c r="B363" s="165" t="s">
        <v>766</v>
      </c>
      <c r="C363" s="165" t="s">
        <v>0</v>
      </c>
      <c r="D363" s="166">
        <v>10725.42</v>
      </c>
      <c r="E363" s="166"/>
      <c r="F363" s="166">
        <v>1087.8599999999999</v>
      </c>
      <c r="G363" s="166"/>
      <c r="I363" s="14" t="str">
        <f>VLOOKUP(A363,bnc_Map!A:C,3,FALSE)</f>
        <v>[BnC-9N01] BnC NETS Transaction Charges</v>
      </c>
      <c r="J363" s="19">
        <f t="shared" si="5"/>
        <v>10725.42</v>
      </c>
    </row>
    <row r="364" spans="1:10" x14ac:dyDescent="0.45">
      <c r="A364" s="165" t="s">
        <v>767</v>
      </c>
      <c r="B364" s="165" t="s">
        <v>768</v>
      </c>
      <c r="C364" s="165" t="s">
        <v>0</v>
      </c>
      <c r="D364" s="166">
        <v>3300</v>
      </c>
      <c r="E364" s="166"/>
      <c r="F364" s="166"/>
      <c r="G364" s="166"/>
      <c r="I364" s="14" t="str">
        <f>VLOOKUP(A364,bnc_Map!A:C,3,FALSE)</f>
        <v>[BnC-9O02] BnC Opening Ceremony Cost</v>
      </c>
      <c r="J364" s="19">
        <f t="shared" si="5"/>
        <v>3300</v>
      </c>
    </row>
    <row r="365" spans="1:10" x14ac:dyDescent="0.45">
      <c r="A365" s="165" t="s">
        <v>769</v>
      </c>
      <c r="B365" s="165" t="s">
        <v>770</v>
      </c>
      <c r="C365" s="165" t="s">
        <v>0</v>
      </c>
      <c r="D365" s="166">
        <v>33429.08</v>
      </c>
      <c r="E365" s="166"/>
      <c r="F365" s="166">
        <v>2641.6</v>
      </c>
      <c r="G365" s="166"/>
      <c r="I365" s="14" t="str">
        <f>VLOOKUP(A365,bnc_Map!A:C,3,FALSE)</f>
        <v>[BnC-9P01] BnC HC - Electricity</v>
      </c>
      <c r="J365" s="19">
        <f t="shared" si="5"/>
        <v>33429.08</v>
      </c>
    </row>
    <row r="366" spans="1:10" x14ac:dyDescent="0.45">
      <c r="A366" s="165" t="s">
        <v>771</v>
      </c>
      <c r="B366" s="165" t="s">
        <v>772</v>
      </c>
      <c r="C366" s="165" t="s">
        <v>0</v>
      </c>
      <c r="D366" s="166">
        <v>13923.9</v>
      </c>
      <c r="E366" s="166"/>
      <c r="F366" s="166">
        <v>1772.44</v>
      </c>
      <c r="G366" s="166"/>
      <c r="I366" s="14" t="str">
        <f>VLOOKUP(A366,bnc_Map!A:C,3,FALSE)</f>
        <v>[BnC-9P01] BnC HC - Electricity</v>
      </c>
      <c r="J366" s="19">
        <f t="shared" si="5"/>
        <v>13923.9</v>
      </c>
    </row>
    <row r="367" spans="1:10" x14ac:dyDescent="0.45">
      <c r="A367" s="165" t="s">
        <v>773</v>
      </c>
      <c r="B367" s="165" t="s">
        <v>774</v>
      </c>
      <c r="C367" s="165" t="s">
        <v>0</v>
      </c>
      <c r="D367" s="166">
        <v>25801.09</v>
      </c>
      <c r="E367" s="166"/>
      <c r="F367" s="166">
        <v>6350.25</v>
      </c>
      <c r="G367" s="166"/>
      <c r="I367" s="14" t="str">
        <f>VLOOKUP(A367,bnc_Map!A:C,3,FALSE)</f>
        <v>[BnC-9P01] BnC HC - Electricity</v>
      </c>
      <c r="J367" s="19">
        <f t="shared" si="5"/>
        <v>25801.09</v>
      </c>
    </row>
    <row r="368" spans="1:10" x14ac:dyDescent="0.45">
      <c r="A368" s="165" t="s">
        <v>775</v>
      </c>
      <c r="B368" s="165" t="s">
        <v>776</v>
      </c>
      <c r="C368" s="165" t="s">
        <v>0</v>
      </c>
      <c r="D368" s="166">
        <v>9753.11</v>
      </c>
      <c r="E368" s="166"/>
      <c r="F368" s="166">
        <v>1192.6400000000001</v>
      </c>
      <c r="G368" s="166"/>
      <c r="I368" s="14" t="str">
        <f>VLOOKUP(A368,bnc_Map!A:C,3,FALSE)</f>
        <v>[BnC-9P01] BnC HC - Electricity</v>
      </c>
      <c r="J368" s="19">
        <f t="shared" si="5"/>
        <v>9753.11</v>
      </c>
    </row>
    <row r="369" spans="1:10" x14ac:dyDescent="0.45">
      <c r="A369" s="165" t="s">
        <v>777</v>
      </c>
      <c r="B369" s="165" t="s">
        <v>778</v>
      </c>
      <c r="C369" s="165" t="s">
        <v>0</v>
      </c>
      <c r="D369" s="166">
        <v>24162.79</v>
      </c>
      <c r="E369" s="166"/>
      <c r="F369" s="166">
        <v>2260.73</v>
      </c>
      <c r="G369" s="166"/>
      <c r="I369" s="14" t="str">
        <f>VLOOKUP(A369,bnc_Map!A:C,3,FALSE)</f>
        <v>[BnC-9P01] BnC HC - Electricity</v>
      </c>
      <c r="J369" s="19">
        <f t="shared" si="5"/>
        <v>24162.79</v>
      </c>
    </row>
    <row r="370" spans="1:10" x14ac:dyDescent="0.45">
      <c r="A370" s="165" t="s">
        <v>779</v>
      </c>
      <c r="B370" s="165" t="s">
        <v>780</v>
      </c>
      <c r="C370" s="165" t="s">
        <v>0</v>
      </c>
      <c r="D370" s="166">
        <v>14635.83</v>
      </c>
      <c r="E370" s="166"/>
      <c r="F370" s="166">
        <v>3562.73</v>
      </c>
      <c r="G370" s="166"/>
      <c r="I370" s="14" t="str">
        <f>VLOOKUP(A370,bnc_Map!A:C,3,FALSE)</f>
        <v>[BnC-9P01] BnC HC - Electricity</v>
      </c>
      <c r="J370" s="19">
        <f t="shared" si="5"/>
        <v>14635.83</v>
      </c>
    </row>
    <row r="371" spans="1:10" x14ac:dyDescent="0.45">
      <c r="A371" s="165" t="s">
        <v>781</v>
      </c>
      <c r="B371" s="165" t="s">
        <v>782</v>
      </c>
      <c r="C371" s="165" t="s">
        <v>0</v>
      </c>
      <c r="D371" s="166">
        <v>28050.19</v>
      </c>
      <c r="E371" s="166"/>
      <c r="F371" s="166">
        <v>2657.89</v>
      </c>
      <c r="G371" s="166"/>
      <c r="I371" s="14" t="str">
        <f>VLOOKUP(A371,bnc_Map!A:C,3,FALSE)</f>
        <v>[BnC-9P01] BnC HC - Electricity</v>
      </c>
      <c r="J371" s="19">
        <f t="shared" si="5"/>
        <v>28050.19</v>
      </c>
    </row>
    <row r="372" spans="1:10" x14ac:dyDescent="0.45">
      <c r="A372" s="165" t="s">
        <v>783</v>
      </c>
      <c r="B372" s="165" t="s">
        <v>784</v>
      </c>
      <c r="C372" s="165" t="s">
        <v>0</v>
      </c>
      <c r="D372" s="166">
        <v>22740.58</v>
      </c>
      <c r="E372" s="166"/>
      <c r="F372" s="166">
        <v>5737.27</v>
      </c>
      <c r="G372" s="166"/>
      <c r="I372" s="14" t="str">
        <f>VLOOKUP(A372,bnc_Map!A:C,3,FALSE)</f>
        <v>[BnC-9P01] BnC HC - Electricity</v>
      </c>
      <c r="J372" s="19">
        <f t="shared" si="5"/>
        <v>22740.58</v>
      </c>
    </row>
    <row r="373" spans="1:10" x14ac:dyDescent="0.45">
      <c r="A373" s="165" t="s">
        <v>785</v>
      </c>
      <c r="B373" s="165" t="s">
        <v>786</v>
      </c>
      <c r="C373" s="165" t="s">
        <v>0</v>
      </c>
      <c r="D373" s="166">
        <v>19059.07</v>
      </c>
      <c r="E373" s="166"/>
      <c r="F373" s="166">
        <v>1948.03</v>
      </c>
      <c r="G373" s="166"/>
      <c r="I373" s="14" t="str">
        <f>VLOOKUP(A373,bnc_Map!A:C,3,FALSE)</f>
        <v>[BnC-9P01] BnC HC - Electricity</v>
      </c>
      <c r="J373" s="19">
        <f t="shared" si="5"/>
        <v>19059.07</v>
      </c>
    </row>
    <row r="374" spans="1:10" x14ac:dyDescent="0.45">
      <c r="A374" s="165" t="s">
        <v>787</v>
      </c>
      <c r="B374" s="165" t="s">
        <v>788</v>
      </c>
      <c r="C374" s="165" t="s">
        <v>0</v>
      </c>
      <c r="D374" s="166">
        <v>21825.93</v>
      </c>
      <c r="E374" s="166"/>
      <c r="F374" s="166"/>
      <c r="G374" s="166"/>
      <c r="I374" s="14" t="str">
        <f>VLOOKUP(A374,bnc_Map!A:C,3,FALSE)</f>
        <v>[BnC-9P01] BnC HC - Electricity</v>
      </c>
      <c r="J374" s="19">
        <f t="shared" si="5"/>
        <v>21825.93</v>
      </c>
    </row>
    <row r="375" spans="1:10" x14ac:dyDescent="0.45">
      <c r="A375" s="165" t="s">
        <v>789</v>
      </c>
      <c r="B375" s="165" t="s">
        <v>790</v>
      </c>
      <c r="C375" s="165" t="s">
        <v>0</v>
      </c>
      <c r="D375" s="166">
        <v>14960.19</v>
      </c>
      <c r="E375" s="166"/>
      <c r="F375" s="166">
        <v>1553.22</v>
      </c>
      <c r="G375" s="166"/>
      <c r="I375" s="14" t="str">
        <f>VLOOKUP(A375,bnc_Map!A:C,3,FALSE)</f>
        <v>[BnC-9P01] BnC HC - Electricity</v>
      </c>
      <c r="J375" s="19">
        <f t="shared" si="5"/>
        <v>14960.19</v>
      </c>
    </row>
    <row r="376" spans="1:10" x14ac:dyDescent="0.45">
      <c r="A376" s="165" t="s">
        <v>791</v>
      </c>
      <c r="B376" s="165" t="s">
        <v>792</v>
      </c>
      <c r="C376" s="165" t="s">
        <v>0</v>
      </c>
      <c r="D376" s="166">
        <v>11876.9</v>
      </c>
      <c r="E376" s="166"/>
      <c r="F376" s="166"/>
      <c r="G376" s="166"/>
      <c r="I376" s="14" t="str">
        <f>VLOOKUP(A376,bnc_Map!A:C,3,FALSE)</f>
        <v>[BnC-9P01] BnC HC - Electricity</v>
      </c>
      <c r="J376" s="19">
        <f t="shared" si="5"/>
        <v>11876.9</v>
      </c>
    </row>
    <row r="377" spans="1:10" x14ac:dyDescent="0.45">
      <c r="A377" s="165" t="s">
        <v>793</v>
      </c>
      <c r="B377" s="165" t="s">
        <v>794</v>
      </c>
      <c r="C377" s="165" t="s">
        <v>0</v>
      </c>
      <c r="D377" s="166">
        <v>311.63</v>
      </c>
      <c r="E377" s="166"/>
      <c r="F377" s="166">
        <v>311.63</v>
      </c>
      <c r="G377" s="166"/>
      <c r="I377" s="14" t="str">
        <f>VLOOKUP(A377,bnc_Map!A:C,3,FALSE)</f>
        <v>[BnC-9P01] BnC HC - Electricity</v>
      </c>
      <c r="J377" s="19">
        <f t="shared" si="5"/>
        <v>311.63</v>
      </c>
    </row>
    <row r="378" spans="1:10" x14ac:dyDescent="0.45">
      <c r="A378" s="165" t="s">
        <v>795</v>
      </c>
      <c r="B378" s="165" t="s">
        <v>796</v>
      </c>
      <c r="C378" s="165" t="s">
        <v>0</v>
      </c>
      <c r="D378" s="166">
        <v>15860</v>
      </c>
      <c r="E378" s="166"/>
      <c r="F378" s="166">
        <v>1820</v>
      </c>
      <c r="G378" s="166"/>
      <c r="I378" s="14" t="str">
        <f>VLOOKUP(A378,bnc_Map!A:C,3,FALSE)</f>
        <v>[BnC-9P01] BnC Gas</v>
      </c>
      <c r="J378" s="19">
        <f t="shared" si="5"/>
        <v>15860</v>
      </c>
    </row>
    <row r="379" spans="1:10" x14ac:dyDescent="0.45">
      <c r="A379" s="165" t="s">
        <v>797</v>
      </c>
      <c r="B379" s="165" t="s">
        <v>798</v>
      </c>
      <c r="C379" s="165" t="s">
        <v>0</v>
      </c>
      <c r="D379" s="166">
        <v>14934</v>
      </c>
      <c r="E379" s="166"/>
      <c r="F379" s="166">
        <v>1820</v>
      </c>
      <c r="G379" s="166"/>
      <c r="I379" s="14" t="str">
        <f>VLOOKUP(A379,bnc_Map!A:C,3,FALSE)</f>
        <v>[BnC-9P01] BnC Gas</v>
      </c>
      <c r="J379" s="19">
        <f t="shared" si="5"/>
        <v>14934</v>
      </c>
    </row>
    <row r="380" spans="1:10" x14ac:dyDescent="0.45">
      <c r="A380" s="165" t="s">
        <v>799</v>
      </c>
      <c r="B380" s="165" t="s">
        <v>800</v>
      </c>
      <c r="C380" s="165" t="s">
        <v>0</v>
      </c>
      <c r="D380" s="166">
        <v>5976.26</v>
      </c>
      <c r="E380" s="166"/>
      <c r="F380" s="166">
        <v>780</v>
      </c>
      <c r="G380" s="166"/>
      <c r="I380" s="14" t="str">
        <f>VLOOKUP(A380,bnc_Map!A:C,3,FALSE)</f>
        <v>[BnC-9P01] BnC Gas</v>
      </c>
      <c r="J380" s="19">
        <f t="shared" si="5"/>
        <v>5976.26</v>
      </c>
    </row>
    <row r="381" spans="1:10" x14ac:dyDescent="0.45">
      <c r="A381" s="165" t="s">
        <v>801</v>
      </c>
      <c r="B381" s="165" t="s">
        <v>802</v>
      </c>
      <c r="C381" s="165" t="s">
        <v>0</v>
      </c>
      <c r="D381" s="166">
        <v>16380</v>
      </c>
      <c r="E381" s="166"/>
      <c r="F381" s="166">
        <v>1560</v>
      </c>
      <c r="G381" s="166"/>
      <c r="I381" s="14" t="str">
        <f>VLOOKUP(A381,bnc_Map!A:C,3,FALSE)</f>
        <v>[BnC-9P01] BnC Gas</v>
      </c>
      <c r="J381" s="19">
        <f t="shared" si="5"/>
        <v>16380</v>
      </c>
    </row>
    <row r="382" spans="1:10" x14ac:dyDescent="0.45">
      <c r="A382" s="165" t="s">
        <v>803</v>
      </c>
      <c r="B382" s="165" t="s">
        <v>804</v>
      </c>
      <c r="C382" s="165" t="s">
        <v>0</v>
      </c>
      <c r="D382" s="166">
        <v>15600</v>
      </c>
      <c r="E382" s="166"/>
      <c r="F382" s="166">
        <v>1560</v>
      </c>
      <c r="G382" s="166"/>
      <c r="I382" s="14" t="str">
        <f>VLOOKUP(A382,bnc_Map!A:C,3,FALSE)</f>
        <v>[BnC-9P01] BnC Gas</v>
      </c>
      <c r="J382" s="19">
        <f t="shared" si="5"/>
        <v>15600</v>
      </c>
    </row>
    <row r="383" spans="1:10" x14ac:dyDescent="0.45">
      <c r="A383" s="165" t="s">
        <v>805</v>
      </c>
      <c r="B383" s="165" t="s">
        <v>806</v>
      </c>
      <c r="C383" s="165" t="s">
        <v>0</v>
      </c>
      <c r="D383" s="166">
        <v>21840</v>
      </c>
      <c r="E383" s="166"/>
      <c r="F383" s="166">
        <v>2340</v>
      </c>
      <c r="G383" s="166"/>
      <c r="I383" s="14" t="str">
        <f>VLOOKUP(A383,bnc_Map!A:C,3,FALSE)</f>
        <v>[BnC-9P01] BnC Gas</v>
      </c>
      <c r="J383" s="19">
        <f t="shared" si="5"/>
        <v>21840</v>
      </c>
    </row>
    <row r="384" spans="1:10" x14ac:dyDescent="0.45">
      <c r="A384" s="165" t="s">
        <v>807</v>
      </c>
      <c r="B384" s="165" t="s">
        <v>808</v>
      </c>
      <c r="C384" s="165" t="s">
        <v>0</v>
      </c>
      <c r="D384" s="166">
        <v>15339.48</v>
      </c>
      <c r="E384" s="166"/>
      <c r="F384" s="166">
        <v>1654.75</v>
      </c>
      <c r="G384" s="166"/>
      <c r="I384" s="14" t="str">
        <f>VLOOKUP(A384,bnc_Map!A:C,3,FALSE)</f>
        <v>[BnC-9P01] BnC Gas</v>
      </c>
      <c r="J384" s="19">
        <f t="shared" si="5"/>
        <v>15339.48</v>
      </c>
    </row>
    <row r="385" spans="1:10" x14ac:dyDescent="0.45">
      <c r="A385" s="165" t="s">
        <v>811</v>
      </c>
      <c r="B385" s="165" t="s">
        <v>812</v>
      </c>
      <c r="C385" s="165" t="s">
        <v>0</v>
      </c>
      <c r="D385" s="166">
        <v>1225.23</v>
      </c>
      <c r="E385" s="166"/>
      <c r="F385" s="166">
        <v>123.33</v>
      </c>
      <c r="G385" s="166"/>
      <c r="I385" s="14" t="str">
        <f>VLOOKUP(A385,bnc_Map!A:C,3,FALSE)</f>
        <v>[BnC-9P02] BnC Pest Control</v>
      </c>
      <c r="J385" s="19">
        <f t="shared" si="5"/>
        <v>1225.23</v>
      </c>
    </row>
    <row r="386" spans="1:10" x14ac:dyDescent="0.45">
      <c r="A386" s="165" t="s">
        <v>813</v>
      </c>
      <c r="B386" s="165" t="s">
        <v>814</v>
      </c>
      <c r="C386" s="165" t="s">
        <v>0</v>
      </c>
      <c r="D386" s="166">
        <v>993.46</v>
      </c>
      <c r="E386" s="166"/>
      <c r="F386" s="166">
        <v>100</v>
      </c>
      <c r="G386" s="166"/>
      <c r="I386" s="14" t="str">
        <f>VLOOKUP(A386,bnc_Map!A:C,3,FALSE)</f>
        <v>[BnC-9P02] BnC Pest Control</v>
      </c>
      <c r="J386" s="19">
        <f t="shared" si="5"/>
        <v>993.46</v>
      </c>
    </row>
    <row r="387" spans="1:10" x14ac:dyDescent="0.45">
      <c r="A387" s="165" t="s">
        <v>815</v>
      </c>
      <c r="B387" s="165" t="s">
        <v>816</v>
      </c>
      <c r="C387" s="165" t="s">
        <v>0</v>
      </c>
      <c r="D387" s="166">
        <v>645.75</v>
      </c>
      <c r="E387" s="166"/>
      <c r="F387" s="166">
        <v>65</v>
      </c>
      <c r="G387" s="166"/>
      <c r="I387" s="14" t="str">
        <f>VLOOKUP(A387,bnc_Map!A:C,3,FALSE)</f>
        <v>[BnC-9P02] BnC Pest Control</v>
      </c>
      <c r="J387" s="19">
        <f t="shared" si="5"/>
        <v>645.75</v>
      </c>
    </row>
    <row r="388" spans="1:10" x14ac:dyDescent="0.45">
      <c r="A388" s="165" t="s">
        <v>817</v>
      </c>
      <c r="B388" s="165" t="s">
        <v>818</v>
      </c>
      <c r="C388" s="165" t="s">
        <v>0</v>
      </c>
      <c r="D388" s="166">
        <v>645.75</v>
      </c>
      <c r="E388" s="166"/>
      <c r="F388" s="166">
        <v>65</v>
      </c>
      <c r="G388" s="166"/>
      <c r="I388" s="14" t="str">
        <f>VLOOKUP(A388,bnc_Map!A:C,3,FALSE)</f>
        <v>[BnC-9P02] BnC Pest Control</v>
      </c>
      <c r="J388" s="19">
        <f t="shared" si="5"/>
        <v>645.75</v>
      </c>
    </row>
    <row r="389" spans="1:10" x14ac:dyDescent="0.45">
      <c r="A389" s="165" t="s">
        <v>819</v>
      </c>
      <c r="B389" s="165" t="s">
        <v>820</v>
      </c>
      <c r="C389" s="165" t="s">
        <v>0</v>
      </c>
      <c r="D389" s="166">
        <v>645.75</v>
      </c>
      <c r="E389" s="166"/>
      <c r="F389" s="166">
        <v>65</v>
      </c>
      <c r="G389" s="166"/>
      <c r="I389" s="14" t="str">
        <f>VLOOKUP(A389,bnc_Map!A:C,3,FALSE)</f>
        <v>[BnC-9P02] BnC Pest Control</v>
      </c>
      <c r="J389" s="19">
        <f t="shared" si="5"/>
        <v>645.75</v>
      </c>
    </row>
    <row r="390" spans="1:10" x14ac:dyDescent="0.45">
      <c r="A390" s="165" t="s">
        <v>821</v>
      </c>
      <c r="B390" s="165" t="s">
        <v>822</v>
      </c>
      <c r="C390" s="165" t="s">
        <v>0</v>
      </c>
      <c r="D390" s="166">
        <v>645.75</v>
      </c>
      <c r="E390" s="166"/>
      <c r="F390" s="166">
        <v>65</v>
      </c>
      <c r="G390" s="166"/>
      <c r="I390" s="14" t="str">
        <f>VLOOKUP(A390,bnc_Map!A:C,3,FALSE)</f>
        <v>[BnC-9P02] BnC Pest Control</v>
      </c>
      <c r="J390" s="19">
        <f t="shared" ref="J390:J453" si="6">D390-E390</f>
        <v>645.75</v>
      </c>
    </row>
    <row r="391" spans="1:10" x14ac:dyDescent="0.45">
      <c r="A391" s="165" t="s">
        <v>823</v>
      </c>
      <c r="B391" s="165" t="s">
        <v>824</v>
      </c>
      <c r="C391" s="165" t="s">
        <v>0</v>
      </c>
      <c r="D391" s="166">
        <v>894.11</v>
      </c>
      <c r="E391" s="166"/>
      <c r="F391" s="166">
        <v>90</v>
      </c>
      <c r="G391" s="166"/>
      <c r="I391" s="14" t="str">
        <f>VLOOKUP(A391,bnc_Map!A:C,3,FALSE)</f>
        <v>[BnC-9P02] BnC Pest Control</v>
      </c>
      <c r="J391" s="19">
        <f t="shared" si="6"/>
        <v>894.11</v>
      </c>
    </row>
    <row r="392" spans="1:10" x14ac:dyDescent="0.45">
      <c r="A392" s="165" t="s">
        <v>825</v>
      </c>
      <c r="B392" s="165" t="s">
        <v>826</v>
      </c>
      <c r="C392" s="165" t="s">
        <v>0</v>
      </c>
      <c r="D392" s="166">
        <v>1225.23</v>
      </c>
      <c r="E392" s="166"/>
      <c r="F392" s="166">
        <v>123.33</v>
      </c>
      <c r="G392" s="166"/>
      <c r="I392" s="14" t="str">
        <f>VLOOKUP(A392,bnc_Map!A:C,3,FALSE)</f>
        <v>[BnC-9P02] BnC Pest Control</v>
      </c>
      <c r="J392" s="19">
        <f t="shared" si="6"/>
        <v>1225.23</v>
      </c>
    </row>
    <row r="393" spans="1:10" x14ac:dyDescent="0.45">
      <c r="A393" s="165" t="s">
        <v>827</v>
      </c>
      <c r="B393" s="165" t="s">
        <v>828</v>
      </c>
      <c r="C393" s="165" t="s">
        <v>0</v>
      </c>
      <c r="D393" s="166">
        <v>645.75</v>
      </c>
      <c r="E393" s="166"/>
      <c r="F393" s="166">
        <v>65</v>
      </c>
      <c r="G393" s="166"/>
      <c r="I393" s="14" t="str">
        <f>VLOOKUP(A393,bnc_Map!A:C,3,FALSE)</f>
        <v>[BnC-9P02] BnC Pest Control</v>
      </c>
      <c r="J393" s="19">
        <f t="shared" si="6"/>
        <v>645.75</v>
      </c>
    </row>
    <row r="394" spans="1:10" x14ac:dyDescent="0.45">
      <c r="A394" s="165" t="s">
        <v>829</v>
      </c>
      <c r="B394" s="165" t="s">
        <v>830</v>
      </c>
      <c r="C394" s="165" t="s">
        <v>0</v>
      </c>
      <c r="D394" s="166">
        <v>1165.8399999999999</v>
      </c>
      <c r="E394" s="166"/>
      <c r="F394" s="166">
        <v>140</v>
      </c>
      <c r="G394" s="166"/>
      <c r="I394" s="14" t="str">
        <f>VLOOKUP(A394,bnc_Map!A:C,3,FALSE)</f>
        <v>[BnC-9P02] BnC Pest Control</v>
      </c>
      <c r="J394" s="19">
        <f t="shared" si="6"/>
        <v>1165.8399999999999</v>
      </c>
    </row>
    <row r="395" spans="1:10" x14ac:dyDescent="0.45">
      <c r="A395" s="165" t="s">
        <v>831</v>
      </c>
      <c r="B395" s="165" t="s">
        <v>832</v>
      </c>
      <c r="C395" s="165" t="s">
        <v>0</v>
      </c>
      <c r="D395" s="166">
        <v>1589.53</v>
      </c>
      <c r="E395" s="166"/>
      <c r="F395" s="166">
        <v>160</v>
      </c>
      <c r="G395" s="166"/>
      <c r="I395" s="14" t="str">
        <f>VLOOKUP(A395,bnc_Map!A:C,3,FALSE)</f>
        <v>[BnC-9P02] BnC Pest Control</v>
      </c>
      <c r="J395" s="19">
        <f t="shared" si="6"/>
        <v>1589.53</v>
      </c>
    </row>
    <row r="396" spans="1:10" x14ac:dyDescent="0.45">
      <c r="A396" s="165" t="s">
        <v>833</v>
      </c>
      <c r="B396" s="165" t="s">
        <v>834</v>
      </c>
      <c r="C396" s="165" t="s">
        <v>0</v>
      </c>
      <c r="D396" s="166">
        <v>645.75</v>
      </c>
      <c r="E396" s="166"/>
      <c r="F396" s="166">
        <v>65</v>
      </c>
      <c r="G396" s="166"/>
      <c r="I396" s="14" t="str">
        <f>VLOOKUP(A396,bnc_Map!A:C,3,FALSE)</f>
        <v>[BnC-9P02] BnC Pest Control</v>
      </c>
      <c r="J396" s="19">
        <f t="shared" si="6"/>
        <v>645.75</v>
      </c>
    </row>
    <row r="397" spans="1:10" x14ac:dyDescent="0.45">
      <c r="A397" s="165" t="s">
        <v>835</v>
      </c>
      <c r="B397" s="165" t="s">
        <v>836</v>
      </c>
      <c r="C397" s="165" t="s">
        <v>0</v>
      </c>
      <c r="D397" s="166">
        <v>1134.95</v>
      </c>
      <c r="E397" s="166"/>
      <c r="F397" s="166">
        <v>230</v>
      </c>
      <c r="G397" s="166"/>
      <c r="I397" s="14" t="str">
        <f>VLOOKUP(A397,bnc_Map!A:C,3,FALSE)</f>
        <v>[BnC-9P02] BnC Pest Control</v>
      </c>
      <c r="J397" s="19">
        <f t="shared" si="6"/>
        <v>1134.95</v>
      </c>
    </row>
    <row r="398" spans="1:10" x14ac:dyDescent="0.45">
      <c r="A398" s="165" t="s">
        <v>839</v>
      </c>
      <c r="B398" s="165" t="s">
        <v>840</v>
      </c>
      <c r="C398" s="165" t="s">
        <v>0</v>
      </c>
      <c r="D398" s="166">
        <v>26449.8</v>
      </c>
      <c r="E398" s="166"/>
      <c r="F398" s="166">
        <v>5775.85</v>
      </c>
      <c r="G398" s="166"/>
      <c r="I398" s="14" t="str">
        <f>VLOOKUP(A398,bnc_Map!A:C,3,FALSE)</f>
        <v>[BnC-9P03] BnC Printing</v>
      </c>
      <c r="J398" s="19">
        <f t="shared" si="6"/>
        <v>26449.8</v>
      </c>
    </row>
    <row r="399" spans="1:10" x14ac:dyDescent="0.45">
      <c r="A399" s="165" t="s">
        <v>841</v>
      </c>
      <c r="B399" s="165" t="s">
        <v>842</v>
      </c>
      <c r="C399" s="165" t="s">
        <v>0</v>
      </c>
      <c r="D399" s="166">
        <v>200</v>
      </c>
      <c r="E399" s="166"/>
      <c r="F399" s="166">
        <v>200</v>
      </c>
      <c r="G399" s="166"/>
      <c r="I399" s="14" t="str">
        <f>VLOOKUP(A399,bnc_Map!A:C,3,FALSE)</f>
        <v>[BnC-9P04] BnC Printing</v>
      </c>
      <c r="J399" s="19">
        <f t="shared" si="6"/>
        <v>200</v>
      </c>
    </row>
    <row r="400" spans="1:10" x14ac:dyDescent="0.45">
      <c r="A400" s="165" t="s">
        <v>843</v>
      </c>
      <c r="B400" s="165" t="s">
        <v>844</v>
      </c>
      <c r="C400" s="165" t="s">
        <v>0</v>
      </c>
      <c r="D400" s="166">
        <v>3195.91</v>
      </c>
      <c r="E400" s="166"/>
      <c r="F400" s="166"/>
      <c r="G400" s="166"/>
      <c r="I400" s="14" t="str">
        <f>VLOOKUP(A400,bnc_Map!A:C,3,FALSE)</f>
        <v>[BnC-9P05] BnC PR Service</v>
      </c>
      <c r="J400" s="19">
        <f t="shared" si="6"/>
        <v>3195.91</v>
      </c>
    </row>
    <row r="401" spans="1:10" x14ac:dyDescent="0.45">
      <c r="A401" s="165" t="s">
        <v>845</v>
      </c>
      <c r="B401" s="165" t="s">
        <v>846</v>
      </c>
      <c r="C401" s="165" t="s">
        <v>0</v>
      </c>
      <c r="D401" s="166">
        <v>2143.1</v>
      </c>
      <c r="E401" s="166"/>
      <c r="F401" s="166">
        <v>233.25</v>
      </c>
      <c r="G401" s="166"/>
      <c r="I401" s="14" t="str">
        <f>VLOOKUP(A401,bnc_Map!A:C,3,FALSE)</f>
        <v>[BnC-9P06] BnC POS System Fee</v>
      </c>
      <c r="J401" s="19">
        <f t="shared" si="6"/>
        <v>2143.1</v>
      </c>
    </row>
    <row r="402" spans="1:10" x14ac:dyDescent="0.45">
      <c r="A402" s="165" t="s">
        <v>847</v>
      </c>
      <c r="B402" s="165" t="s">
        <v>848</v>
      </c>
      <c r="C402" s="165" t="s">
        <v>0</v>
      </c>
      <c r="D402" s="166">
        <v>2745.97</v>
      </c>
      <c r="E402" s="166"/>
      <c r="F402" s="166">
        <v>274.20999999999998</v>
      </c>
      <c r="G402" s="166"/>
      <c r="I402" s="14" t="str">
        <f>VLOOKUP(A402,bnc_Map!A:C,3,FALSE)</f>
        <v>[BnC-9P06] BnC POS System Fee</v>
      </c>
      <c r="J402" s="19">
        <f t="shared" si="6"/>
        <v>2745.97</v>
      </c>
    </row>
    <row r="403" spans="1:10" x14ac:dyDescent="0.45">
      <c r="A403" s="165" t="s">
        <v>849</v>
      </c>
      <c r="B403" s="165" t="s">
        <v>850</v>
      </c>
      <c r="C403" s="165" t="s">
        <v>0</v>
      </c>
      <c r="D403" s="166">
        <v>2430.9499999999998</v>
      </c>
      <c r="E403" s="166"/>
      <c r="F403" s="166">
        <v>231</v>
      </c>
      <c r="G403" s="166"/>
      <c r="I403" s="14" t="str">
        <f>VLOOKUP(A403,bnc_Map!A:C,3,FALSE)</f>
        <v>[BnC-9P06] BnC POS System Fee</v>
      </c>
      <c r="J403" s="19">
        <f t="shared" si="6"/>
        <v>2430.9499999999998</v>
      </c>
    </row>
    <row r="404" spans="1:10" x14ac:dyDescent="0.45">
      <c r="A404" s="165" t="s">
        <v>851</v>
      </c>
      <c r="B404" s="165" t="s">
        <v>852</v>
      </c>
      <c r="C404" s="165" t="s">
        <v>0</v>
      </c>
      <c r="D404" s="166">
        <v>3780.31</v>
      </c>
      <c r="E404" s="166"/>
      <c r="F404" s="166">
        <v>712.06</v>
      </c>
      <c r="G404" s="166"/>
      <c r="I404" s="14" t="str">
        <f>VLOOKUP(A404,bnc_Map!A:C,3,FALSE)</f>
        <v>[BnC-9P06] BnC POS System Fee</v>
      </c>
      <c r="J404" s="19">
        <f t="shared" si="6"/>
        <v>3780.31</v>
      </c>
    </row>
    <row r="405" spans="1:10" x14ac:dyDescent="0.45">
      <c r="A405" s="165" t="s">
        <v>853</v>
      </c>
      <c r="B405" s="165" t="s">
        <v>854</v>
      </c>
      <c r="C405" s="165" t="s">
        <v>0</v>
      </c>
      <c r="D405" s="166">
        <v>2249.16</v>
      </c>
      <c r="E405" s="166"/>
      <c r="F405" s="166">
        <v>212.1</v>
      </c>
      <c r="G405" s="166"/>
      <c r="I405" s="14" t="str">
        <f>VLOOKUP(A405,bnc_Map!A:C,3,FALSE)</f>
        <v>[BnC-9P06] BnC POS System Fee</v>
      </c>
      <c r="J405" s="19">
        <f t="shared" si="6"/>
        <v>2249.16</v>
      </c>
    </row>
    <row r="406" spans="1:10" x14ac:dyDescent="0.45">
      <c r="A406" s="165" t="s">
        <v>855</v>
      </c>
      <c r="B406" s="165" t="s">
        <v>856</v>
      </c>
      <c r="C406" s="165" t="s">
        <v>0</v>
      </c>
      <c r="D406" s="166">
        <v>2939.1</v>
      </c>
      <c r="E406" s="166"/>
      <c r="F406" s="166">
        <v>305.55</v>
      </c>
      <c r="G406" s="166"/>
      <c r="I406" s="14" t="str">
        <f>VLOOKUP(A406,bnc_Map!A:C,3,FALSE)</f>
        <v>[BnC-9P06] BnC POS System Fee</v>
      </c>
      <c r="J406" s="19">
        <f t="shared" si="6"/>
        <v>2939.1</v>
      </c>
    </row>
    <row r="407" spans="1:10" x14ac:dyDescent="0.45">
      <c r="A407" s="165" t="s">
        <v>857</v>
      </c>
      <c r="B407" s="165" t="s">
        <v>858</v>
      </c>
      <c r="C407" s="165" t="s">
        <v>0</v>
      </c>
      <c r="D407" s="166">
        <v>2383.6</v>
      </c>
      <c r="E407" s="166"/>
      <c r="F407" s="166">
        <v>247.8</v>
      </c>
      <c r="G407" s="166"/>
      <c r="I407" s="14" t="str">
        <f>VLOOKUP(A407,bnc_Map!A:C,3,FALSE)</f>
        <v>[BnC-9P06] BnC POS System Fee</v>
      </c>
      <c r="J407" s="19">
        <f t="shared" si="6"/>
        <v>2383.6</v>
      </c>
    </row>
    <row r="408" spans="1:10" x14ac:dyDescent="0.45">
      <c r="A408" s="165" t="s">
        <v>859</v>
      </c>
      <c r="B408" s="165" t="s">
        <v>860</v>
      </c>
      <c r="C408" s="165" t="s">
        <v>0</v>
      </c>
      <c r="D408" s="166">
        <v>3045.28</v>
      </c>
      <c r="E408" s="166"/>
      <c r="F408" s="166">
        <v>316.60000000000002</v>
      </c>
      <c r="G408" s="166"/>
      <c r="I408" s="14" t="str">
        <f>VLOOKUP(A408,bnc_Map!A:C,3,FALSE)</f>
        <v>[BnC-9P06] BnC POS System Fee</v>
      </c>
      <c r="J408" s="19">
        <f t="shared" si="6"/>
        <v>3045.28</v>
      </c>
    </row>
    <row r="409" spans="1:10" x14ac:dyDescent="0.45">
      <c r="A409" s="165" t="s">
        <v>861</v>
      </c>
      <c r="B409" s="165" t="s">
        <v>862</v>
      </c>
      <c r="C409" s="165" t="s">
        <v>0</v>
      </c>
      <c r="D409" s="166">
        <v>3045.28</v>
      </c>
      <c r="E409" s="166"/>
      <c r="F409" s="166">
        <v>316.60000000000002</v>
      </c>
      <c r="G409" s="166"/>
      <c r="I409" s="14" t="str">
        <f>VLOOKUP(A409,bnc_Map!A:C,3,FALSE)</f>
        <v>[BnC-9P06] BnC POS System Fee</v>
      </c>
      <c r="J409" s="19">
        <f t="shared" si="6"/>
        <v>3045.28</v>
      </c>
    </row>
    <row r="410" spans="1:10" x14ac:dyDescent="0.45">
      <c r="A410" s="165" t="s">
        <v>863</v>
      </c>
      <c r="B410" s="165" t="s">
        <v>864</v>
      </c>
      <c r="C410" s="165" t="s">
        <v>0</v>
      </c>
      <c r="D410" s="166">
        <v>3136.18</v>
      </c>
      <c r="E410" s="166"/>
      <c r="F410" s="166">
        <v>326.05</v>
      </c>
      <c r="G410" s="166"/>
      <c r="I410" s="14" t="str">
        <f>VLOOKUP(A410,bnc_Map!A:C,3,FALSE)</f>
        <v>[BnC-9P06] BnC POS System Fee</v>
      </c>
      <c r="J410" s="19">
        <f t="shared" si="6"/>
        <v>3136.18</v>
      </c>
    </row>
    <row r="411" spans="1:10" x14ac:dyDescent="0.45">
      <c r="A411" s="165" t="s">
        <v>865</v>
      </c>
      <c r="B411" s="165" t="s">
        <v>866</v>
      </c>
      <c r="C411" s="165" t="s">
        <v>0</v>
      </c>
      <c r="D411" s="166">
        <v>2805.9</v>
      </c>
      <c r="E411" s="166"/>
      <c r="F411" s="166">
        <v>291.70999999999998</v>
      </c>
      <c r="G411" s="166"/>
      <c r="I411" s="14" t="str">
        <f>VLOOKUP(A411,bnc_Map!A:C,3,FALSE)</f>
        <v>[BnC-9P06] BnC POS System Fee</v>
      </c>
      <c r="J411" s="19">
        <f t="shared" si="6"/>
        <v>2805.9</v>
      </c>
    </row>
    <row r="412" spans="1:10" x14ac:dyDescent="0.45">
      <c r="A412" s="165" t="s">
        <v>867</v>
      </c>
      <c r="B412" s="165" t="s">
        <v>868</v>
      </c>
      <c r="C412" s="165" t="s">
        <v>0</v>
      </c>
      <c r="D412" s="166">
        <v>532.41</v>
      </c>
      <c r="E412" s="166"/>
      <c r="F412" s="166">
        <v>532.41</v>
      </c>
      <c r="G412" s="166"/>
      <c r="I412" s="14" t="str">
        <f>VLOOKUP(A412,bnc_Map!A:C,3,FALSE)</f>
        <v>[BnC-9P06] BnC POS System Fee</v>
      </c>
      <c r="J412" s="19">
        <f t="shared" si="6"/>
        <v>532.41</v>
      </c>
    </row>
    <row r="413" spans="1:10" x14ac:dyDescent="0.45">
      <c r="A413" s="165" t="s">
        <v>869</v>
      </c>
      <c r="B413" s="165" t="s">
        <v>870</v>
      </c>
      <c r="C413" s="165" t="s">
        <v>0</v>
      </c>
      <c r="D413" s="166">
        <v>10707.5</v>
      </c>
      <c r="E413" s="166"/>
      <c r="F413" s="166">
        <v>370</v>
      </c>
      <c r="G413" s="166"/>
      <c r="I413" s="14" t="str">
        <f>VLOOKUP(A413,bnc_Map!A:C,3,FALSE)</f>
        <v>[BnC-9P07] BnC Payroll System</v>
      </c>
      <c r="J413" s="19">
        <f t="shared" si="6"/>
        <v>10707.5</v>
      </c>
    </row>
    <row r="414" spans="1:10" x14ac:dyDescent="0.45">
      <c r="A414" s="165" t="s">
        <v>871</v>
      </c>
      <c r="B414" s="165" t="s">
        <v>872</v>
      </c>
      <c r="C414" s="165" t="s">
        <v>0</v>
      </c>
      <c r="D414" s="166">
        <v>9696.91</v>
      </c>
      <c r="E414" s="166"/>
      <c r="F414" s="166">
        <v>814.55</v>
      </c>
      <c r="G414" s="166"/>
      <c r="I414" s="14" t="str">
        <f>VLOOKUP(A414,bnc_Map!A:C,3,FALSE)</f>
        <v>[BnC-9R01] BnC Rubbish Removal</v>
      </c>
      <c r="J414" s="19">
        <f t="shared" si="6"/>
        <v>9696.91</v>
      </c>
    </row>
    <row r="415" spans="1:10" x14ac:dyDescent="0.45">
      <c r="A415" s="165" t="s">
        <v>873</v>
      </c>
      <c r="B415" s="165" t="s">
        <v>874</v>
      </c>
      <c r="C415" s="165" t="s">
        <v>0</v>
      </c>
      <c r="D415" s="166">
        <v>5202.03</v>
      </c>
      <c r="E415" s="166"/>
      <c r="F415" s="166">
        <v>524.41999999999996</v>
      </c>
      <c r="G415" s="166"/>
      <c r="I415" s="14" t="str">
        <f>VLOOKUP(A415,bnc_Map!A:C,3,FALSE)</f>
        <v>[BnC-9R01] BnC Rubbish Removal</v>
      </c>
      <c r="J415" s="19">
        <f t="shared" si="6"/>
        <v>5202.03</v>
      </c>
    </row>
    <row r="416" spans="1:10" x14ac:dyDescent="0.45">
      <c r="A416" s="165" t="s">
        <v>875</v>
      </c>
      <c r="B416" s="165" t="s">
        <v>876</v>
      </c>
      <c r="C416" s="165" t="s">
        <v>0</v>
      </c>
      <c r="D416" s="166">
        <v>5845.23</v>
      </c>
      <c r="E416" s="166"/>
      <c r="F416" s="166">
        <v>586.94000000000005</v>
      </c>
      <c r="G416" s="166"/>
      <c r="I416" s="14" t="str">
        <f>VLOOKUP(A416,bnc_Map!A:C,3,FALSE)</f>
        <v>[BnC-9R01] BnC Rubbish Removal</v>
      </c>
      <c r="J416" s="19">
        <f t="shared" si="6"/>
        <v>5845.23</v>
      </c>
    </row>
    <row r="417" spans="1:10" x14ac:dyDescent="0.45">
      <c r="A417" s="165" t="s">
        <v>877</v>
      </c>
      <c r="B417" s="165" t="s">
        <v>878</v>
      </c>
      <c r="C417" s="165" t="s">
        <v>0</v>
      </c>
      <c r="D417" s="166">
        <v>5615.22</v>
      </c>
      <c r="E417" s="166"/>
      <c r="F417" s="166">
        <v>564.24</v>
      </c>
      <c r="G417" s="166"/>
      <c r="I417" s="14" t="str">
        <f>VLOOKUP(A417,bnc_Map!A:C,3,FALSE)</f>
        <v>[BnC-9R01] BnC Rubbish Removal</v>
      </c>
      <c r="J417" s="19">
        <f t="shared" si="6"/>
        <v>5615.22</v>
      </c>
    </row>
    <row r="418" spans="1:10" x14ac:dyDescent="0.45">
      <c r="A418" s="165" t="s">
        <v>879</v>
      </c>
      <c r="B418" s="165" t="s">
        <v>880</v>
      </c>
      <c r="C418" s="165" t="s">
        <v>0</v>
      </c>
      <c r="D418" s="166">
        <v>787.04</v>
      </c>
      <c r="E418" s="166"/>
      <c r="F418" s="166">
        <v>79.64</v>
      </c>
      <c r="G418" s="166"/>
      <c r="I418" s="14" t="str">
        <f>VLOOKUP(A418,bnc_Map!A:C,3,FALSE)</f>
        <v>[BnC-9R01] BnC Rubbish Removal</v>
      </c>
      <c r="J418" s="19">
        <f t="shared" si="6"/>
        <v>787.04</v>
      </c>
    </row>
    <row r="419" spans="1:10" x14ac:dyDescent="0.45">
      <c r="A419" s="165" t="s">
        <v>881</v>
      </c>
      <c r="B419" s="165" t="s">
        <v>882</v>
      </c>
      <c r="C419" s="165" t="s">
        <v>0</v>
      </c>
      <c r="D419" s="166">
        <v>5182.6400000000003</v>
      </c>
      <c r="E419" s="166"/>
      <c r="F419" s="166">
        <v>524.41999999999996</v>
      </c>
      <c r="G419" s="166"/>
      <c r="I419" s="14" t="str">
        <f>VLOOKUP(A419,bnc_Map!A:C,3,FALSE)</f>
        <v>[BnC-9R01] BnC Rubbish Removal</v>
      </c>
      <c r="J419" s="19">
        <f t="shared" si="6"/>
        <v>5182.6400000000003</v>
      </c>
    </row>
    <row r="420" spans="1:10" x14ac:dyDescent="0.45">
      <c r="A420" s="165" t="s">
        <v>883</v>
      </c>
      <c r="B420" s="165" t="s">
        <v>884</v>
      </c>
      <c r="C420" s="165" t="s">
        <v>0</v>
      </c>
      <c r="D420" s="166">
        <v>4229.46</v>
      </c>
      <c r="E420" s="166"/>
      <c r="F420" s="166">
        <v>398.06</v>
      </c>
      <c r="G420" s="166"/>
      <c r="I420" s="14" t="str">
        <f>VLOOKUP(A420,bnc_Map!A:C,3,FALSE)</f>
        <v>[BnC-9R01] BnC Rubbish Removal</v>
      </c>
      <c r="J420" s="19">
        <f t="shared" si="6"/>
        <v>4229.46</v>
      </c>
    </row>
    <row r="421" spans="1:10" x14ac:dyDescent="0.45">
      <c r="A421" s="165" t="s">
        <v>885</v>
      </c>
      <c r="B421" s="165" t="s">
        <v>886</v>
      </c>
      <c r="C421" s="165" t="s">
        <v>0</v>
      </c>
      <c r="D421" s="166">
        <v>6553.58</v>
      </c>
      <c r="E421" s="166"/>
      <c r="F421" s="166">
        <v>726.17</v>
      </c>
      <c r="G421" s="166"/>
      <c r="I421" s="14" t="str">
        <f>VLOOKUP(A421,bnc_Map!A:C,3,FALSE)</f>
        <v>[BnC-9R01] BnC Rubbish Removal</v>
      </c>
      <c r="J421" s="19">
        <f t="shared" si="6"/>
        <v>6553.58</v>
      </c>
    </row>
    <row r="422" spans="1:10" x14ac:dyDescent="0.45">
      <c r="A422" s="165" t="s">
        <v>887</v>
      </c>
      <c r="B422" s="165" t="s">
        <v>888</v>
      </c>
      <c r="C422" s="165" t="s">
        <v>0</v>
      </c>
      <c r="D422" s="166">
        <v>1211.49</v>
      </c>
      <c r="E422" s="166"/>
      <c r="F422" s="166"/>
      <c r="G422" s="166"/>
      <c r="I422" s="14" t="str">
        <f>VLOOKUP(A422,bnc_Map!A:C,3,FALSE)</f>
        <v>[BnC-9R01] BnC Rubbish Removal</v>
      </c>
      <c r="J422" s="19">
        <f t="shared" si="6"/>
        <v>1211.49</v>
      </c>
    </row>
    <row r="423" spans="1:10" x14ac:dyDescent="0.45">
      <c r="A423" s="165" t="s">
        <v>889</v>
      </c>
      <c r="B423" s="165" t="s">
        <v>890</v>
      </c>
      <c r="C423" s="165" t="s">
        <v>0</v>
      </c>
      <c r="D423" s="166">
        <v>2116.56</v>
      </c>
      <c r="E423" s="166"/>
      <c r="F423" s="166">
        <v>248.86</v>
      </c>
      <c r="G423" s="166"/>
      <c r="I423" s="14" t="str">
        <f>VLOOKUP(A423,bnc_Map!A:C,3,FALSE)</f>
        <v>[BnC-9R01] BnC Rubbish Removal</v>
      </c>
      <c r="J423" s="19">
        <f t="shared" si="6"/>
        <v>2116.56</v>
      </c>
    </row>
    <row r="424" spans="1:10" x14ac:dyDescent="0.45">
      <c r="A424" s="165" t="s">
        <v>891</v>
      </c>
      <c r="B424" s="165" t="s">
        <v>892</v>
      </c>
      <c r="C424" s="165" t="s">
        <v>0</v>
      </c>
      <c r="D424" s="166">
        <v>541.66</v>
      </c>
      <c r="E424" s="166"/>
      <c r="F424" s="166">
        <v>541.66</v>
      </c>
      <c r="G424" s="166"/>
      <c r="I424" s="14" t="str">
        <f>VLOOKUP(A424,bnc_Map!A:C,3,FALSE)</f>
        <v>[BnC-9R01] BnC Rubbish Removal</v>
      </c>
      <c r="J424" s="19">
        <f t="shared" si="6"/>
        <v>541.66</v>
      </c>
    </row>
    <row r="425" spans="1:10" x14ac:dyDescent="0.45">
      <c r="A425" s="165" t="s">
        <v>893</v>
      </c>
      <c r="B425" s="165" t="s">
        <v>894</v>
      </c>
      <c r="C425" s="165" t="s">
        <v>0</v>
      </c>
      <c r="D425" s="166">
        <v>6630.81</v>
      </c>
      <c r="E425" s="166"/>
      <c r="F425" s="166">
        <v>276.67</v>
      </c>
      <c r="G425" s="166"/>
      <c r="I425" s="14" t="str">
        <f>VLOOKUP(A425,bnc_Map!A:C,3,FALSE)</f>
        <v>[BnC-9R02] BnC Repair &amp; Maintainance</v>
      </c>
      <c r="J425" s="19">
        <f t="shared" si="6"/>
        <v>6630.81</v>
      </c>
    </row>
    <row r="426" spans="1:10" x14ac:dyDescent="0.45">
      <c r="A426" s="165" t="s">
        <v>895</v>
      </c>
      <c r="B426" s="165" t="s">
        <v>896</v>
      </c>
      <c r="C426" s="165" t="s">
        <v>0</v>
      </c>
      <c r="D426" s="166">
        <v>10035.42</v>
      </c>
      <c r="E426" s="166"/>
      <c r="F426" s="166">
        <v>584.66999999999996</v>
      </c>
      <c r="G426" s="166"/>
      <c r="I426" s="14" t="str">
        <f>VLOOKUP(A426,bnc_Map!A:C,3,FALSE)</f>
        <v>[BnC-9R02] BnC Repair &amp; Maintainance</v>
      </c>
      <c r="J426" s="19">
        <f t="shared" si="6"/>
        <v>10035.42</v>
      </c>
    </row>
    <row r="427" spans="1:10" x14ac:dyDescent="0.45">
      <c r="A427" s="165" t="s">
        <v>897</v>
      </c>
      <c r="B427" s="165" t="s">
        <v>898</v>
      </c>
      <c r="C427" s="165" t="s">
        <v>0</v>
      </c>
      <c r="D427" s="166">
        <v>11576.38</v>
      </c>
      <c r="E427" s="166"/>
      <c r="F427" s="166">
        <v>1594.67</v>
      </c>
      <c r="G427" s="166"/>
      <c r="I427" s="14" t="str">
        <f>VLOOKUP(A427,bnc_Map!A:C,3,FALSE)</f>
        <v>[BnC-9R02] BnC Repair &amp; Maintainance</v>
      </c>
      <c r="J427" s="19">
        <f t="shared" si="6"/>
        <v>11576.38</v>
      </c>
    </row>
    <row r="428" spans="1:10" x14ac:dyDescent="0.45">
      <c r="A428" s="165" t="s">
        <v>899</v>
      </c>
      <c r="B428" s="165" t="s">
        <v>900</v>
      </c>
      <c r="C428" s="165" t="s">
        <v>0</v>
      </c>
      <c r="D428" s="166">
        <v>2416.69</v>
      </c>
      <c r="E428" s="166"/>
      <c r="F428" s="166">
        <v>480</v>
      </c>
      <c r="G428" s="166"/>
      <c r="I428" s="14" t="str">
        <f>VLOOKUP(A428,bnc_Map!A:C,3,FALSE)</f>
        <v>[BnC-9R02] BnC Repair &amp; Maintainance</v>
      </c>
      <c r="J428" s="19">
        <f t="shared" si="6"/>
        <v>2416.69</v>
      </c>
    </row>
    <row r="429" spans="1:10" x14ac:dyDescent="0.45">
      <c r="A429" s="165" t="s">
        <v>901</v>
      </c>
      <c r="B429" s="165" t="s">
        <v>902</v>
      </c>
      <c r="C429" s="165" t="s">
        <v>0</v>
      </c>
      <c r="D429" s="166">
        <v>14187.31</v>
      </c>
      <c r="E429" s="166"/>
      <c r="F429" s="166">
        <v>714.96</v>
      </c>
      <c r="G429" s="166"/>
      <c r="I429" s="14" t="str">
        <f>VLOOKUP(A429,bnc_Map!A:C,3,FALSE)</f>
        <v>[BnC-9R02] BnC Repair &amp; Maintainance</v>
      </c>
      <c r="J429" s="19">
        <f t="shared" si="6"/>
        <v>14187.31</v>
      </c>
    </row>
    <row r="430" spans="1:10" x14ac:dyDescent="0.45">
      <c r="A430" s="165" t="s">
        <v>903</v>
      </c>
      <c r="B430" s="165" t="s">
        <v>904</v>
      </c>
      <c r="C430" s="165" t="s">
        <v>0</v>
      </c>
      <c r="D430" s="166">
        <v>7947.04</v>
      </c>
      <c r="E430" s="166"/>
      <c r="F430" s="166">
        <v>426.67</v>
      </c>
      <c r="G430" s="166"/>
      <c r="I430" s="14" t="str">
        <f>VLOOKUP(A430,bnc_Map!A:C,3,FALSE)</f>
        <v>[BnC-9R02] BnC Repair &amp; Maintainance</v>
      </c>
      <c r="J430" s="19">
        <f t="shared" si="6"/>
        <v>7947.04</v>
      </c>
    </row>
    <row r="431" spans="1:10" x14ac:dyDescent="0.45">
      <c r="A431" s="165" t="s">
        <v>905</v>
      </c>
      <c r="B431" s="165" t="s">
        <v>906</v>
      </c>
      <c r="C431" s="165" t="s">
        <v>0</v>
      </c>
      <c r="D431" s="166">
        <v>3875.81</v>
      </c>
      <c r="E431" s="166"/>
      <c r="F431" s="166">
        <v>333.33</v>
      </c>
      <c r="G431" s="166"/>
      <c r="I431" s="14" t="str">
        <f>VLOOKUP(A431,bnc_Map!A:C,3,FALSE)</f>
        <v>[BnC-9R02] BnC Repair &amp; Maintainance</v>
      </c>
      <c r="J431" s="19">
        <f t="shared" si="6"/>
        <v>3875.81</v>
      </c>
    </row>
    <row r="432" spans="1:10" x14ac:dyDescent="0.45">
      <c r="A432" s="165" t="s">
        <v>907</v>
      </c>
      <c r="B432" s="165" t="s">
        <v>908</v>
      </c>
      <c r="C432" s="165" t="s">
        <v>0</v>
      </c>
      <c r="D432" s="166">
        <v>11679.38</v>
      </c>
      <c r="E432" s="166"/>
      <c r="F432" s="166">
        <v>984.34</v>
      </c>
      <c r="G432" s="166"/>
      <c r="I432" s="14" t="str">
        <f>VLOOKUP(A432,bnc_Map!A:C,3,FALSE)</f>
        <v>[BnC-9R02] BnC Repair &amp; Maintainance</v>
      </c>
      <c r="J432" s="19">
        <f t="shared" si="6"/>
        <v>11679.38</v>
      </c>
    </row>
    <row r="433" spans="1:10" x14ac:dyDescent="0.45">
      <c r="A433" s="165" t="s">
        <v>909</v>
      </c>
      <c r="B433" s="165" t="s">
        <v>910</v>
      </c>
      <c r="C433" s="165" t="s">
        <v>0</v>
      </c>
      <c r="D433" s="166">
        <v>11149.04</v>
      </c>
      <c r="E433" s="166"/>
      <c r="F433" s="166">
        <v>1013.33</v>
      </c>
      <c r="G433" s="166"/>
      <c r="I433" s="14" t="str">
        <f>VLOOKUP(A433,bnc_Map!A:C,3,FALSE)</f>
        <v>[BnC-9R02] BnC Repair &amp; Maintainance</v>
      </c>
      <c r="J433" s="19">
        <f t="shared" si="6"/>
        <v>11149.04</v>
      </c>
    </row>
    <row r="434" spans="1:10" x14ac:dyDescent="0.45">
      <c r="A434" s="165" t="s">
        <v>911</v>
      </c>
      <c r="B434" s="165" t="s">
        <v>912</v>
      </c>
      <c r="C434" s="165" t="s">
        <v>0</v>
      </c>
      <c r="D434" s="166">
        <v>11883.6</v>
      </c>
      <c r="E434" s="166"/>
      <c r="F434" s="166">
        <v>931</v>
      </c>
      <c r="G434" s="166"/>
      <c r="I434" s="14" t="str">
        <f>VLOOKUP(A434,bnc_Map!A:C,3,FALSE)</f>
        <v>[BnC-9R02] BnC Repair &amp; Maintainance</v>
      </c>
      <c r="J434" s="19">
        <f t="shared" si="6"/>
        <v>11883.6</v>
      </c>
    </row>
    <row r="435" spans="1:10" x14ac:dyDescent="0.45">
      <c r="A435" s="165" t="s">
        <v>913</v>
      </c>
      <c r="B435" s="165" t="s">
        <v>914</v>
      </c>
      <c r="C435" s="165" t="s">
        <v>0</v>
      </c>
      <c r="D435" s="166">
        <v>11699.35</v>
      </c>
      <c r="E435" s="166"/>
      <c r="F435" s="166">
        <v>1714.66</v>
      </c>
      <c r="G435" s="166"/>
      <c r="I435" s="14" t="str">
        <f>VLOOKUP(A435,bnc_Map!A:C,3,FALSE)</f>
        <v>[BnC-9R02] BnC Repair &amp; Maintainance</v>
      </c>
      <c r="J435" s="19">
        <f t="shared" si="6"/>
        <v>11699.35</v>
      </c>
    </row>
    <row r="436" spans="1:10" x14ac:dyDescent="0.45">
      <c r="A436" s="165" t="s">
        <v>915</v>
      </c>
      <c r="B436" s="165" t="s">
        <v>916</v>
      </c>
      <c r="C436" s="165" t="s">
        <v>0</v>
      </c>
      <c r="D436" s="166">
        <v>18180.61</v>
      </c>
      <c r="E436" s="166"/>
      <c r="F436" s="166">
        <v>1088.33</v>
      </c>
      <c r="G436" s="166"/>
      <c r="I436" s="14" t="str">
        <f>VLOOKUP(A436,bnc_Map!A:C,3,FALSE)</f>
        <v>[BnC-9R02] BnC Repair &amp; Maintainance</v>
      </c>
      <c r="J436" s="19">
        <f t="shared" si="6"/>
        <v>18180.61</v>
      </c>
    </row>
    <row r="437" spans="1:10" x14ac:dyDescent="0.45">
      <c r="A437" s="165" t="s">
        <v>917</v>
      </c>
      <c r="B437" s="165" t="s">
        <v>918</v>
      </c>
      <c r="C437" s="165" t="s">
        <v>0</v>
      </c>
      <c r="D437" s="166">
        <v>9307.84</v>
      </c>
      <c r="E437" s="166"/>
      <c r="F437" s="166">
        <v>1167.5899999999999</v>
      </c>
      <c r="G437" s="166"/>
      <c r="I437" s="14" t="str">
        <f>VLOOKUP(A437,bnc_Map!A:C,3,FALSE)</f>
        <v>[BnC-9R02] BnC Repair &amp; Maintainance</v>
      </c>
      <c r="J437" s="19">
        <f t="shared" si="6"/>
        <v>9307.84</v>
      </c>
    </row>
    <row r="438" spans="1:10" x14ac:dyDescent="0.45">
      <c r="A438" s="165" t="s">
        <v>919</v>
      </c>
      <c r="B438" s="165" t="s">
        <v>920</v>
      </c>
      <c r="C438" s="165" t="s">
        <v>0</v>
      </c>
      <c r="D438" s="166">
        <v>920</v>
      </c>
      <c r="E438" s="166"/>
      <c r="F438" s="166">
        <v>300</v>
      </c>
      <c r="G438" s="166"/>
      <c r="I438" s="14" t="str">
        <f>VLOOKUP(A438,bnc_Map!A:C,3,FALSE)</f>
        <v>[BnC-9R02] BnC Repair &amp; Maintainance</v>
      </c>
      <c r="J438" s="19">
        <f t="shared" si="6"/>
        <v>920</v>
      </c>
    </row>
    <row r="439" spans="1:10" x14ac:dyDescent="0.45">
      <c r="A439" s="165" t="s">
        <v>923</v>
      </c>
      <c r="B439" s="165" t="s">
        <v>924</v>
      </c>
      <c r="C439" s="165" t="s">
        <v>0</v>
      </c>
      <c r="D439" s="166">
        <v>77500</v>
      </c>
      <c r="E439" s="166"/>
      <c r="F439" s="166">
        <v>7750</v>
      </c>
      <c r="G439" s="166"/>
      <c r="I439" s="14" t="str">
        <f>VLOOKUP(A439,bnc_Map!A:C,3,FALSE)</f>
        <v>[BnC-9R03] BnC Rental</v>
      </c>
      <c r="J439" s="19">
        <f t="shared" si="6"/>
        <v>77500</v>
      </c>
    </row>
    <row r="440" spans="1:10" x14ac:dyDescent="0.45">
      <c r="A440" s="165" t="s">
        <v>925</v>
      </c>
      <c r="B440" s="165" t="s">
        <v>926</v>
      </c>
      <c r="C440" s="165" t="s">
        <v>0</v>
      </c>
      <c r="D440" s="166">
        <v>79809.75</v>
      </c>
      <c r="E440" s="166"/>
      <c r="F440" s="166">
        <v>15961.95</v>
      </c>
      <c r="G440" s="166"/>
      <c r="I440" s="14" t="str">
        <f>VLOOKUP(A440,bnc_Map!A:C,3,FALSE)</f>
        <v>[BnC-9R03] BnC Rental</v>
      </c>
      <c r="J440" s="19">
        <f t="shared" si="6"/>
        <v>79809.75</v>
      </c>
    </row>
    <row r="441" spans="1:10" x14ac:dyDescent="0.45">
      <c r="A441" s="165" t="s">
        <v>927</v>
      </c>
      <c r="B441" s="165" t="s">
        <v>928</v>
      </c>
      <c r="C441" s="165" t="s">
        <v>0</v>
      </c>
      <c r="D441" s="166">
        <v>155263.59</v>
      </c>
      <c r="E441" s="166"/>
      <c r="F441" s="166">
        <v>15634.63</v>
      </c>
      <c r="G441" s="166"/>
      <c r="I441" s="14" t="str">
        <f>VLOOKUP(A441,bnc_Map!A:C,3,FALSE)</f>
        <v>[BnC-9R03] BnC Rental</v>
      </c>
      <c r="J441" s="19">
        <f t="shared" si="6"/>
        <v>155263.59</v>
      </c>
    </row>
    <row r="442" spans="1:10" x14ac:dyDescent="0.45">
      <c r="A442" s="165" t="s">
        <v>929</v>
      </c>
      <c r="B442" s="165" t="s">
        <v>930</v>
      </c>
      <c r="C442" s="165" t="s">
        <v>0</v>
      </c>
      <c r="D442" s="166">
        <v>62775.519999999997</v>
      </c>
      <c r="E442" s="166"/>
      <c r="F442" s="166">
        <v>6978.8</v>
      </c>
      <c r="G442" s="166"/>
      <c r="I442" s="14" t="str">
        <f>VLOOKUP(A442,bnc_Map!A:C,3,FALSE)</f>
        <v>[BnC-9R03] BnC Rental</v>
      </c>
      <c r="J442" s="19">
        <f t="shared" si="6"/>
        <v>62775.519999999997</v>
      </c>
    </row>
    <row r="443" spans="1:10" x14ac:dyDescent="0.45">
      <c r="A443" s="165" t="s">
        <v>931</v>
      </c>
      <c r="B443" s="165" t="s">
        <v>932</v>
      </c>
      <c r="C443" s="165" t="s">
        <v>0</v>
      </c>
      <c r="D443" s="166">
        <v>150000</v>
      </c>
      <c r="E443" s="166"/>
      <c r="F443" s="166">
        <v>15000</v>
      </c>
      <c r="G443" s="166"/>
      <c r="I443" s="14" t="str">
        <f>VLOOKUP(A443,bnc_Map!A:C,3,FALSE)</f>
        <v>[BnC-9R03] BnC Rental</v>
      </c>
      <c r="J443" s="19">
        <f t="shared" si="6"/>
        <v>150000</v>
      </c>
    </row>
    <row r="444" spans="1:10" x14ac:dyDescent="0.45">
      <c r="A444" s="165" t="s">
        <v>933</v>
      </c>
      <c r="B444" s="165" t="s">
        <v>934</v>
      </c>
      <c r="C444" s="165" t="s">
        <v>0</v>
      </c>
      <c r="D444" s="166">
        <v>48000</v>
      </c>
      <c r="E444" s="166"/>
      <c r="F444" s="166">
        <v>4800</v>
      </c>
      <c r="G444" s="166"/>
      <c r="I444" s="14" t="str">
        <f>VLOOKUP(A444,bnc_Map!A:C,3,FALSE)</f>
        <v>[BnC-9R03] BnC Rental</v>
      </c>
      <c r="J444" s="19">
        <f t="shared" si="6"/>
        <v>48000</v>
      </c>
    </row>
    <row r="445" spans="1:10" x14ac:dyDescent="0.45">
      <c r="A445" s="165" t="s">
        <v>935</v>
      </c>
      <c r="B445" s="165" t="s">
        <v>936</v>
      </c>
      <c r="C445" s="165" t="s">
        <v>0</v>
      </c>
      <c r="D445" s="166">
        <v>76000</v>
      </c>
      <c r="E445" s="166"/>
      <c r="F445" s="166">
        <v>7600</v>
      </c>
      <c r="G445" s="166"/>
      <c r="I445" s="14" t="str">
        <f>VLOOKUP(A445,bnc_Map!A:C,3,FALSE)</f>
        <v>[BnC-9R03] BnC Rental</v>
      </c>
      <c r="J445" s="19">
        <f t="shared" si="6"/>
        <v>76000</v>
      </c>
    </row>
    <row r="446" spans="1:10" x14ac:dyDescent="0.45">
      <c r="A446" s="165" t="s">
        <v>937</v>
      </c>
      <c r="B446" s="165" t="s">
        <v>938</v>
      </c>
      <c r="C446" s="165" t="s">
        <v>0</v>
      </c>
      <c r="D446" s="166">
        <v>32100</v>
      </c>
      <c r="E446" s="166"/>
      <c r="F446" s="166">
        <v>2900</v>
      </c>
      <c r="G446" s="166"/>
      <c r="I446" s="14" t="str">
        <f>VLOOKUP(A446,bnc_Map!A:C,3,FALSE)</f>
        <v>[BnC-9R03] BnC Rental</v>
      </c>
      <c r="J446" s="19">
        <f t="shared" si="6"/>
        <v>32100</v>
      </c>
    </row>
    <row r="447" spans="1:10" x14ac:dyDescent="0.45">
      <c r="A447" s="165" t="s">
        <v>939</v>
      </c>
      <c r="B447" s="165" t="s">
        <v>940</v>
      </c>
      <c r="C447" s="165" t="s">
        <v>0</v>
      </c>
      <c r="D447" s="166">
        <v>108000</v>
      </c>
      <c r="E447" s="166"/>
      <c r="F447" s="166">
        <v>12000</v>
      </c>
      <c r="G447" s="166"/>
      <c r="I447" s="14" t="str">
        <f>VLOOKUP(A447,bnc_Map!A:C,3,FALSE)</f>
        <v>[BnC-9R03] BnC Rental</v>
      </c>
      <c r="J447" s="19">
        <f t="shared" si="6"/>
        <v>108000</v>
      </c>
    </row>
    <row r="448" spans="1:10" x14ac:dyDescent="0.45">
      <c r="A448" s="165" t="s">
        <v>941</v>
      </c>
      <c r="B448" s="165" t="s">
        <v>942</v>
      </c>
      <c r="C448" s="165" t="s">
        <v>0</v>
      </c>
      <c r="D448" s="166">
        <v>115500</v>
      </c>
      <c r="E448" s="166"/>
      <c r="F448" s="166">
        <v>11550</v>
      </c>
      <c r="G448" s="166"/>
      <c r="I448" s="14" t="str">
        <f>VLOOKUP(A448,bnc_Map!A:C,3,FALSE)</f>
        <v>[BnC-9R03] BnC Rental</v>
      </c>
      <c r="J448" s="19">
        <f t="shared" si="6"/>
        <v>115500</v>
      </c>
    </row>
    <row r="449" spans="1:10" x14ac:dyDescent="0.45">
      <c r="A449" s="165" t="s">
        <v>943</v>
      </c>
      <c r="B449" s="165" t="s">
        <v>944</v>
      </c>
      <c r="C449" s="165" t="s">
        <v>0</v>
      </c>
      <c r="D449" s="166">
        <v>58000</v>
      </c>
      <c r="E449" s="166"/>
      <c r="F449" s="166">
        <v>5800</v>
      </c>
      <c r="G449" s="166"/>
      <c r="I449" s="14" t="str">
        <f>VLOOKUP(A449,bnc_Map!A:C,3,FALSE)</f>
        <v>[BnC-9R03] BnC Rental</v>
      </c>
      <c r="J449" s="19">
        <f t="shared" si="6"/>
        <v>58000</v>
      </c>
    </row>
    <row r="450" spans="1:10" x14ac:dyDescent="0.45">
      <c r="A450" s="165" t="s">
        <v>945</v>
      </c>
      <c r="B450" s="165" t="s">
        <v>946</v>
      </c>
      <c r="C450" s="165" t="s">
        <v>0</v>
      </c>
      <c r="D450" s="166">
        <v>180000</v>
      </c>
      <c r="E450" s="166"/>
      <c r="F450" s="166">
        <v>18000</v>
      </c>
      <c r="G450" s="166"/>
      <c r="I450" s="14" t="str">
        <f>VLOOKUP(A450,bnc_Map!A:C,3,FALSE)</f>
        <v>[BnC-9R03] BnC Rental</v>
      </c>
      <c r="J450" s="19">
        <f t="shared" si="6"/>
        <v>180000</v>
      </c>
    </row>
    <row r="451" spans="1:10" x14ac:dyDescent="0.45">
      <c r="A451" s="165" t="s">
        <v>947</v>
      </c>
      <c r="B451" s="165" t="s">
        <v>948</v>
      </c>
      <c r="C451" s="165" t="s">
        <v>0</v>
      </c>
      <c r="D451" s="166">
        <v>114600</v>
      </c>
      <c r="E451" s="166"/>
      <c r="F451" s="166">
        <v>11460</v>
      </c>
      <c r="G451" s="166"/>
      <c r="I451" s="14" t="str">
        <f>VLOOKUP(A451,bnc_Map!A:C,3,FALSE)</f>
        <v>[BnC-9R03] BnC Rental</v>
      </c>
      <c r="J451" s="19">
        <f t="shared" si="6"/>
        <v>114600</v>
      </c>
    </row>
    <row r="452" spans="1:10" x14ac:dyDescent="0.45">
      <c r="A452" s="165" t="s">
        <v>949</v>
      </c>
      <c r="B452" s="165" t="s">
        <v>950</v>
      </c>
      <c r="C452" s="165" t="s">
        <v>0</v>
      </c>
      <c r="D452" s="166">
        <v>39000</v>
      </c>
      <c r="E452" s="166"/>
      <c r="F452" s="166">
        <v>3900</v>
      </c>
      <c r="G452" s="166"/>
      <c r="I452" s="14" t="str">
        <f>VLOOKUP(A452,bnc_Map!A:C,3,FALSE)</f>
        <v>[BnC-9R03] BnC Rental</v>
      </c>
      <c r="J452" s="19">
        <f t="shared" si="6"/>
        <v>39000</v>
      </c>
    </row>
    <row r="453" spans="1:10" x14ac:dyDescent="0.45">
      <c r="A453" s="165" t="s">
        <v>951</v>
      </c>
      <c r="B453" s="165" t="s">
        <v>952</v>
      </c>
      <c r="C453" s="165" t="s">
        <v>0</v>
      </c>
      <c r="D453" s="166">
        <v>13500</v>
      </c>
      <c r="E453" s="166"/>
      <c r="F453" s="166">
        <v>13500</v>
      </c>
      <c r="G453" s="166"/>
      <c r="I453" s="14" t="str">
        <f>VLOOKUP(A453,bnc_Map!A:C,3,FALSE)</f>
        <v>[BnC-9R03] BnC Rental</v>
      </c>
      <c r="J453" s="19">
        <f t="shared" si="6"/>
        <v>13500</v>
      </c>
    </row>
    <row r="454" spans="1:10" x14ac:dyDescent="0.45">
      <c r="A454" s="165" t="s">
        <v>953</v>
      </c>
      <c r="B454" s="165" t="s">
        <v>954</v>
      </c>
      <c r="C454" s="165" t="s">
        <v>0</v>
      </c>
      <c r="D454" s="166">
        <v>15000</v>
      </c>
      <c r="E454" s="166"/>
      <c r="F454" s="166">
        <v>1500</v>
      </c>
      <c r="G454" s="166"/>
      <c r="I454" s="14" t="str">
        <f>VLOOKUP(A454,bnc_Map!A:C,3,FALSE)</f>
        <v>[BnC-9R04] BnC Car Rental</v>
      </c>
      <c r="J454" s="19">
        <f t="shared" ref="J454:J517" si="7">D454-E454</f>
        <v>15000</v>
      </c>
    </row>
    <row r="455" spans="1:10" x14ac:dyDescent="0.45">
      <c r="A455" s="165" t="s">
        <v>955</v>
      </c>
      <c r="B455" s="165" t="s">
        <v>956</v>
      </c>
      <c r="C455" s="165" t="s">
        <v>0</v>
      </c>
      <c r="D455" s="166">
        <v>191150.28</v>
      </c>
      <c r="E455" s="166"/>
      <c r="F455" s="166">
        <v>17905.79</v>
      </c>
      <c r="G455" s="166"/>
      <c r="I455" s="14" t="str">
        <f>VLOOKUP(A455,bnc_Map!A:C,3,FALSE)</f>
        <v>[BnC-9S01] BnC Foreign Worker Levy</v>
      </c>
      <c r="J455" s="19">
        <f t="shared" si="7"/>
        <v>191150.28</v>
      </c>
    </row>
    <row r="456" spans="1:10" x14ac:dyDescent="0.45">
      <c r="A456" s="165" t="s">
        <v>957</v>
      </c>
      <c r="B456" s="165" t="s">
        <v>958</v>
      </c>
      <c r="C456" s="165" t="s">
        <v>0</v>
      </c>
      <c r="D456" s="166">
        <v>354579</v>
      </c>
      <c r="E456" s="166"/>
      <c r="F456" s="166">
        <v>34132</v>
      </c>
      <c r="G456" s="166"/>
      <c r="I456" s="14" t="str">
        <f>VLOOKUP(A456,bnc_Map!A:C,3,FALSE)</f>
        <v>[BnC-9S02] BnC Employer CPF</v>
      </c>
      <c r="J456" s="19">
        <f t="shared" si="7"/>
        <v>354579</v>
      </c>
    </row>
    <row r="457" spans="1:10" x14ac:dyDescent="0.45">
      <c r="A457" s="165" t="s">
        <v>959</v>
      </c>
      <c r="B457" s="165" t="s">
        <v>960</v>
      </c>
      <c r="C457" s="165" t="s">
        <v>0</v>
      </c>
      <c r="D457" s="166">
        <v>3653584.95</v>
      </c>
      <c r="E457" s="166"/>
      <c r="F457" s="166">
        <v>376848.7</v>
      </c>
      <c r="G457" s="166"/>
      <c r="I457" s="14" t="str">
        <f>VLOOKUP(A457,bnc_Map!A:C,3,FALSE)</f>
        <v>[BnC-9S03] BnC Staff Salary</v>
      </c>
      <c r="J457" s="19">
        <f t="shared" si="7"/>
        <v>3653584.95</v>
      </c>
    </row>
    <row r="458" spans="1:10" x14ac:dyDescent="0.45">
      <c r="A458" s="165" t="s">
        <v>961</v>
      </c>
      <c r="B458" s="165" t="s">
        <v>962</v>
      </c>
      <c r="C458" s="165" t="s">
        <v>0</v>
      </c>
      <c r="D458" s="166">
        <v>100</v>
      </c>
      <c r="E458" s="166"/>
      <c r="F458" s="166"/>
      <c r="G458" s="166"/>
      <c r="I458" s="14" t="str">
        <f>VLOOKUP(A458,bnc_Map!A:C,3,FALSE)</f>
        <v>[BnC-9S03] BnC Part Time Salary</v>
      </c>
      <c r="J458" s="19">
        <f t="shared" si="7"/>
        <v>100</v>
      </c>
    </row>
    <row r="459" spans="1:10" x14ac:dyDescent="0.45">
      <c r="A459" s="165" t="s">
        <v>963</v>
      </c>
      <c r="B459" s="165" t="s">
        <v>964</v>
      </c>
      <c r="C459" s="165" t="s">
        <v>0</v>
      </c>
      <c r="D459" s="166">
        <v>12418</v>
      </c>
      <c r="E459" s="166"/>
      <c r="F459" s="166"/>
      <c r="G459" s="166"/>
      <c r="I459" s="14" t="str">
        <f>VLOOKUP(A459,bnc_Map!A:C,3,FALSE)</f>
        <v>[BnC-9S03] BnC Part Time Salary</v>
      </c>
      <c r="J459" s="19">
        <f t="shared" si="7"/>
        <v>12418</v>
      </c>
    </row>
    <row r="460" spans="1:10" x14ac:dyDescent="0.45">
      <c r="A460" s="165" t="s">
        <v>965</v>
      </c>
      <c r="B460" s="165" t="s">
        <v>966</v>
      </c>
      <c r="C460" s="165" t="s">
        <v>0</v>
      </c>
      <c r="D460" s="166">
        <v>18590</v>
      </c>
      <c r="E460" s="166"/>
      <c r="F460" s="166"/>
      <c r="G460" s="166"/>
      <c r="I460" s="14" t="str">
        <f>VLOOKUP(A460,bnc_Map!A:C,3,FALSE)</f>
        <v>[BnC-9S03] BnC Part Time Salary</v>
      </c>
      <c r="J460" s="19">
        <f t="shared" si="7"/>
        <v>18590</v>
      </c>
    </row>
    <row r="461" spans="1:10" x14ac:dyDescent="0.45">
      <c r="A461" s="165" t="s">
        <v>967</v>
      </c>
      <c r="B461" s="165" t="s">
        <v>968</v>
      </c>
      <c r="C461" s="165" t="s">
        <v>0</v>
      </c>
      <c r="D461" s="166">
        <v>7406.25</v>
      </c>
      <c r="E461" s="166"/>
      <c r="F461" s="166"/>
      <c r="G461" s="166"/>
      <c r="I461" s="14" t="str">
        <f>VLOOKUP(A461,bnc_Map!A:C,3,FALSE)</f>
        <v>[BnC-9S03] BnC Part Time Salary</v>
      </c>
      <c r="J461" s="19">
        <f t="shared" si="7"/>
        <v>7406.25</v>
      </c>
    </row>
    <row r="462" spans="1:10" x14ac:dyDescent="0.45">
      <c r="A462" s="165" t="s">
        <v>969</v>
      </c>
      <c r="B462" s="165" t="s">
        <v>970</v>
      </c>
      <c r="C462" s="165" t="s">
        <v>0</v>
      </c>
      <c r="D462" s="166">
        <v>25706.78</v>
      </c>
      <c r="E462" s="166"/>
      <c r="F462" s="166"/>
      <c r="G462" s="166"/>
      <c r="I462" s="14" t="str">
        <f>VLOOKUP(A462,bnc_Map!A:C,3,FALSE)</f>
        <v>[BnC-9S03] BnC Part Time Salary</v>
      </c>
      <c r="J462" s="19">
        <f t="shared" si="7"/>
        <v>25706.78</v>
      </c>
    </row>
    <row r="463" spans="1:10" x14ac:dyDescent="0.45">
      <c r="A463" s="165" t="s">
        <v>971</v>
      </c>
      <c r="B463" s="165" t="s">
        <v>972</v>
      </c>
      <c r="C463" s="165" t="s">
        <v>0</v>
      </c>
      <c r="D463" s="166">
        <v>9596</v>
      </c>
      <c r="E463" s="166"/>
      <c r="F463" s="166"/>
      <c r="G463" s="166"/>
      <c r="I463" s="14" t="str">
        <f>VLOOKUP(A463,bnc_Map!A:C,3,FALSE)</f>
        <v>[BnC-9S03] BnC Part Time Salary</v>
      </c>
      <c r="J463" s="19">
        <f t="shared" si="7"/>
        <v>9596</v>
      </c>
    </row>
    <row r="464" spans="1:10" x14ac:dyDescent="0.45">
      <c r="A464" s="165" t="s">
        <v>973</v>
      </c>
      <c r="B464" s="165" t="s">
        <v>974</v>
      </c>
      <c r="C464" s="165" t="s">
        <v>0</v>
      </c>
      <c r="D464" s="166">
        <v>11618.25</v>
      </c>
      <c r="E464" s="166"/>
      <c r="F464" s="166"/>
      <c r="G464" s="166"/>
      <c r="I464" s="14" t="str">
        <f>VLOOKUP(A464,bnc_Map!A:C,3,FALSE)</f>
        <v>[BnC-9S03] BnC Part Time Salary</v>
      </c>
      <c r="J464" s="19">
        <f t="shared" si="7"/>
        <v>11618.25</v>
      </c>
    </row>
    <row r="465" spans="1:10" x14ac:dyDescent="0.45">
      <c r="A465" s="165" t="s">
        <v>975</v>
      </c>
      <c r="B465" s="165" t="s">
        <v>976</v>
      </c>
      <c r="C465" s="165" t="s">
        <v>0</v>
      </c>
      <c r="D465" s="166">
        <v>2704.58</v>
      </c>
      <c r="E465" s="166"/>
      <c r="F465" s="166"/>
      <c r="G465" s="166"/>
      <c r="I465" s="14" t="str">
        <f>VLOOKUP(A465,bnc_Map!A:C,3,FALSE)</f>
        <v>[BnC-9S03] BnC Part Time Salary</v>
      </c>
      <c r="J465" s="19">
        <f t="shared" si="7"/>
        <v>2704.58</v>
      </c>
    </row>
    <row r="466" spans="1:10" x14ac:dyDescent="0.45">
      <c r="A466" s="165" t="s">
        <v>977</v>
      </c>
      <c r="B466" s="165" t="s">
        <v>978</v>
      </c>
      <c r="C466" s="165" t="s">
        <v>0</v>
      </c>
      <c r="D466" s="166">
        <v>12848.5</v>
      </c>
      <c r="E466" s="166"/>
      <c r="F466" s="166"/>
      <c r="G466" s="166"/>
      <c r="I466" s="14" t="str">
        <f>VLOOKUP(A466,bnc_Map!A:C,3,FALSE)</f>
        <v>[BnC-9S03] BnC Part Time Salary</v>
      </c>
      <c r="J466" s="19">
        <f t="shared" si="7"/>
        <v>12848.5</v>
      </c>
    </row>
    <row r="467" spans="1:10" x14ac:dyDescent="0.45">
      <c r="A467" s="165" t="s">
        <v>979</v>
      </c>
      <c r="B467" s="165" t="s">
        <v>980</v>
      </c>
      <c r="C467" s="165" t="s">
        <v>0</v>
      </c>
      <c r="D467" s="166">
        <v>18617.45</v>
      </c>
      <c r="E467" s="166"/>
      <c r="F467" s="166"/>
      <c r="G467" s="166"/>
      <c r="I467" s="14" t="str">
        <f>VLOOKUP(A467,bnc_Map!A:C,3,FALSE)</f>
        <v>[BnC-9S03] BnC Part Time Salary</v>
      </c>
      <c r="J467" s="19">
        <f t="shared" si="7"/>
        <v>18617.45</v>
      </c>
    </row>
    <row r="468" spans="1:10" x14ac:dyDescent="0.45">
      <c r="A468" s="165" t="s">
        <v>981</v>
      </c>
      <c r="B468" s="165" t="s">
        <v>982</v>
      </c>
      <c r="C468" s="165" t="s">
        <v>0</v>
      </c>
      <c r="D468" s="166">
        <v>33790</v>
      </c>
      <c r="E468" s="166"/>
      <c r="F468" s="166"/>
      <c r="G468" s="166"/>
      <c r="I468" s="14" t="str">
        <f>VLOOKUP(A468,bnc_Map!A:C,3,FALSE)</f>
        <v>[BnC-9S03] BnC Part Time Salary</v>
      </c>
      <c r="J468" s="19">
        <f t="shared" si="7"/>
        <v>33790</v>
      </c>
    </row>
    <row r="469" spans="1:10" x14ac:dyDescent="0.45">
      <c r="A469" s="165" t="s">
        <v>983</v>
      </c>
      <c r="B469" s="165" t="s">
        <v>984</v>
      </c>
      <c r="C469" s="165" t="s">
        <v>0</v>
      </c>
      <c r="D469" s="166">
        <v>12013.75</v>
      </c>
      <c r="E469" s="166"/>
      <c r="F469" s="166"/>
      <c r="G469" s="166"/>
      <c r="I469" s="14" t="str">
        <f>VLOOKUP(A469,bnc_Map!A:C,3,FALSE)</f>
        <v>[BnC-9S03] BnC Part Time Salary</v>
      </c>
      <c r="J469" s="19">
        <f t="shared" si="7"/>
        <v>12013.75</v>
      </c>
    </row>
    <row r="470" spans="1:10" x14ac:dyDescent="0.45">
      <c r="A470" s="165" t="s">
        <v>985</v>
      </c>
      <c r="B470" s="165" t="s">
        <v>986</v>
      </c>
      <c r="C470" s="165" t="s">
        <v>0</v>
      </c>
      <c r="D470" s="166">
        <v>29345.3</v>
      </c>
      <c r="E470" s="166"/>
      <c r="F470" s="166">
        <v>5876.82</v>
      </c>
      <c r="G470" s="166"/>
      <c r="I470" s="14" t="str">
        <f>VLOOKUP(A470,bnc_Map!A:C,3,FALSE)</f>
        <v>[BnC-9S04] BnC Staff Welfare</v>
      </c>
      <c r="J470" s="19">
        <f t="shared" si="7"/>
        <v>29345.3</v>
      </c>
    </row>
    <row r="471" spans="1:10" x14ac:dyDescent="0.45">
      <c r="A471" s="165" t="s">
        <v>987</v>
      </c>
      <c r="B471" s="165" t="s">
        <v>988</v>
      </c>
      <c r="C471" s="165" t="s">
        <v>0</v>
      </c>
      <c r="D471" s="166">
        <v>1240</v>
      </c>
      <c r="E471" s="166"/>
      <c r="F471" s="166">
        <v>77.5</v>
      </c>
      <c r="G471" s="166"/>
      <c r="I471" s="14" t="str">
        <f>VLOOKUP(A471,bnc_Map!A:C,3,FALSE)</f>
        <v>[BnC-9S06] BnC Secretarial Fee</v>
      </c>
      <c r="J471" s="19">
        <f t="shared" si="7"/>
        <v>1240</v>
      </c>
    </row>
    <row r="472" spans="1:10" x14ac:dyDescent="0.45">
      <c r="A472" s="165" t="s">
        <v>989</v>
      </c>
      <c r="B472" s="165" t="s">
        <v>990</v>
      </c>
      <c r="C472" s="165" t="s">
        <v>0</v>
      </c>
      <c r="D472" s="166">
        <v>27170.82</v>
      </c>
      <c r="E472" s="166"/>
      <c r="F472" s="166">
        <v>2355.61</v>
      </c>
      <c r="G472" s="166"/>
      <c r="I472" s="14" t="str">
        <f>VLOOKUP(A472,bnc_Map!A:C,3,FALSE)</f>
        <v>[BnC-9S10] BnC Stationary</v>
      </c>
      <c r="J472" s="19">
        <f t="shared" si="7"/>
        <v>27170.82</v>
      </c>
    </row>
    <row r="473" spans="1:10" x14ac:dyDescent="0.45">
      <c r="A473" s="165" t="s">
        <v>991</v>
      </c>
      <c r="B473" s="165" t="s">
        <v>992</v>
      </c>
      <c r="C473" s="165" t="s">
        <v>0</v>
      </c>
      <c r="D473" s="166">
        <v>10676.86</v>
      </c>
      <c r="E473" s="166"/>
      <c r="F473" s="166">
        <v>1383.06</v>
      </c>
      <c r="G473" s="166"/>
      <c r="I473" s="14" t="str">
        <f>VLOOKUP(A473,bnc_Map!A:C,3,FALSE)</f>
        <v>[BnC-9S11] BnC Storage Charges</v>
      </c>
      <c r="J473" s="19">
        <f t="shared" si="7"/>
        <v>10676.86</v>
      </c>
    </row>
    <row r="474" spans="1:10" x14ac:dyDescent="0.45">
      <c r="A474" s="165" t="s">
        <v>993</v>
      </c>
      <c r="B474" s="165" t="s">
        <v>994</v>
      </c>
      <c r="C474" s="165" t="s">
        <v>0</v>
      </c>
      <c r="D474" s="166">
        <v>248.38</v>
      </c>
      <c r="E474" s="166"/>
      <c r="F474" s="166">
        <v>5.5</v>
      </c>
      <c r="G474" s="166"/>
      <c r="I474" s="14" t="str">
        <f>VLOOKUP(A474,bnc_Map!A:C,3,FALSE)</f>
        <v>[BnC-9S13] BnC Small Equipment</v>
      </c>
      <c r="J474" s="19">
        <f t="shared" si="7"/>
        <v>248.38</v>
      </c>
    </row>
    <row r="475" spans="1:10" x14ac:dyDescent="0.45">
      <c r="A475" s="165" t="s">
        <v>995</v>
      </c>
      <c r="B475" s="165" t="s">
        <v>996</v>
      </c>
      <c r="C475" s="165" t="s">
        <v>0</v>
      </c>
      <c r="D475" s="166">
        <v>12082.58</v>
      </c>
      <c r="E475" s="166"/>
      <c r="F475" s="166">
        <v>1900.47</v>
      </c>
      <c r="G475" s="166"/>
      <c r="I475" s="14" t="str">
        <f>VLOOKUP(A475,bnc_Map!A:C,3,FALSE)</f>
        <v>[BnC-9S13] BnC Small Equipment</v>
      </c>
      <c r="J475" s="19">
        <f t="shared" si="7"/>
        <v>12082.58</v>
      </c>
    </row>
    <row r="476" spans="1:10" x14ac:dyDescent="0.45">
      <c r="A476" s="165" t="s">
        <v>997</v>
      </c>
      <c r="B476" s="165" t="s">
        <v>998</v>
      </c>
      <c r="C476" s="165" t="s">
        <v>0</v>
      </c>
      <c r="D476" s="166">
        <v>4563.09</v>
      </c>
      <c r="E476" s="166"/>
      <c r="F476" s="166">
        <v>157.85</v>
      </c>
      <c r="G476" s="166"/>
      <c r="I476" s="14" t="str">
        <f>VLOOKUP(A476,bnc_Map!A:C,3,FALSE)</f>
        <v>[BnC-9S13] BnC Small Equipment</v>
      </c>
      <c r="J476" s="19">
        <f t="shared" si="7"/>
        <v>4563.09</v>
      </c>
    </row>
    <row r="477" spans="1:10" x14ac:dyDescent="0.45">
      <c r="A477" s="165" t="s">
        <v>999</v>
      </c>
      <c r="B477" s="165" t="s">
        <v>1000</v>
      </c>
      <c r="C477" s="165" t="s">
        <v>0</v>
      </c>
      <c r="D477" s="166">
        <v>2118.2399999999998</v>
      </c>
      <c r="E477" s="166"/>
      <c r="F477" s="166">
        <v>66.7</v>
      </c>
      <c r="G477" s="166"/>
      <c r="I477" s="14" t="str">
        <f>VLOOKUP(A477,bnc_Map!A:C,3,FALSE)</f>
        <v>[BnC-9S13] BnC Small Equipment</v>
      </c>
      <c r="J477" s="19">
        <f t="shared" si="7"/>
        <v>2118.2399999999998</v>
      </c>
    </row>
    <row r="478" spans="1:10" x14ac:dyDescent="0.45">
      <c r="A478" s="165" t="s">
        <v>1001</v>
      </c>
      <c r="B478" s="165" t="s">
        <v>1002</v>
      </c>
      <c r="C478" s="165" t="s">
        <v>0</v>
      </c>
      <c r="D478" s="166">
        <v>150.6</v>
      </c>
      <c r="E478" s="166"/>
      <c r="F478" s="166">
        <v>8</v>
      </c>
      <c r="G478" s="166"/>
      <c r="I478" s="14" t="str">
        <f>VLOOKUP(A478,bnc_Map!A:C,3,FALSE)</f>
        <v>[BnC-9S13] BnC Small Equipment</v>
      </c>
      <c r="J478" s="19">
        <f t="shared" si="7"/>
        <v>150.6</v>
      </c>
    </row>
    <row r="479" spans="1:10" x14ac:dyDescent="0.45">
      <c r="A479" s="165" t="s">
        <v>1003</v>
      </c>
      <c r="B479" s="165" t="s">
        <v>1004</v>
      </c>
      <c r="C479" s="165" t="s">
        <v>0</v>
      </c>
      <c r="D479" s="166">
        <v>5249.83</v>
      </c>
      <c r="E479" s="166"/>
      <c r="F479" s="166">
        <v>546.74</v>
      </c>
      <c r="G479" s="166"/>
      <c r="I479" s="14" t="str">
        <f>VLOOKUP(A479,bnc_Map!A:C,3,FALSE)</f>
        <v>[BnC-9S13] BnC Small Equipment</v>
      </c>
      <c r="J479" s="19">
        <f t="shared" si="7"/>
        <v>5249.83</v>
      </c>
    </row>
    <row r="480" spans="1:10" x14ac:dyDescent="0.45">
      <c r="A480" s="165" t="s">
        <v>1005</v>
      </c>
      <c r="B480" s="165" t="s">
        <v>1006</v>
      </c>
      <c r="C480" s="165" t="s">
        <v>0</v>
      </c>
      <c r="D480" s="166">
        <v>2258.16</v>
      </c>
      <c r="E480" s="166"/>
      <c r="F480" s="166">
        <v>398.36</v>
      </c>
      <c r="G480" s="166"/>
      <c r="I480" s="14" t="str">
        <f>VLOOKUP(A480,bnc_Map!A:C,3,FALSE)</f>
        <v>[BnC-9S13] BnC Small Equipment</v>
      </c>
      <c r="J480" s="19">
        <f t="shared" si="7"/>
        <v>2258.16</v>
      </c>
    </row>
    <row r="481" spans="1:10" x14ac:dyDescent="0.45">
      <c r="A481" s="165" t="s">
        <v>1007</v>
      </c>
      <c r="B481" s="165" t="s">
        <v>1008</v>
      </c>
      <c r="C481" s="165" t="s">
        <v>0</v>
      </c>
      <c r="D481" s="166">
        <v>5288.45</v>
      </c>
      <c r="E481" s="166"/>
      <c r="F481" s="166">
        <v>447.96</v>
      </c>
      <c r="G481" s="166"/>
      <c r="I481" s="14" t="str">
        <f>VLOOKUP(A481,bnc_Map!A:C,3,FALSE)</f>
        <v>[BnC-9S13] BnC Small Equipment</v>
      </c>
      <c r="J481" s="19">
        <f t="shared" si="7"/>
        <v>5288.45</v>
      </c>
    </row>
    <row r="482" spans="1:10" x14ac:dyDescent="0.45">
      <c r="A482" s="165" t="s">
        <v>1009</v>
      </c>
      <c r="B482" s="165" t="s">
        <v>1010</v>
      </c>
      <c r="C482" s="165" t="s">
        <v>0</v>
      </c>
      <c r="D482" s="166">
        <v>2669.76</v>
      </c>
      <c r="E482" s="166"/>
      <c r="F482" s="166"/>
      <c r="G482" s="166"/>
      <c r="I482" s="14" t="str">
        <f>VLOOKUP(A482,bnc_Map!A:C,3,FALSE)</f>
        <v>[BnC-9S13] BnC Small Equipment</v>
      </c>
      <c r="J482" s="19">
        <f t="shared" si="7"/>
        <v>2669.76</v>
      </c>
    </row>
    <row r="483" spans="1:10" x14ac:dyDescent="0.45">
      <c r="A483" s="165" t="s">
        <v>1011</v>
      </c>
      <c r="B483" s="165" t="s">
        <v>1012</v>
      </c>
      <c r="C483" s="165" t="s">
        <v>0</v>
      </c>
      <c r="D483" s="166">
        <v>1389.02</v>
      </c>
      <c r="E483" s="166"/>
      <c r="F483" s="166">
        <v>58.98</v>
      </c>
      <c r="G483" s="166"/>
      <c r="I483" s="14" t="str">
        <f>VLOOKUP(A483,bnc_Map!A:C,3,FALSE)</f>
        <v>[BnC-9S13] BnC Small Equipment</v>
      </c>
      <c r="J483" s="19">
        <f t="shared" si="7"/>
        <v>1389.02</v>
      </c>
    </row>
    <row r="484" spans="1:10" x14ac:dyDescent="0.45">
      <c r="A484" s="165" t="s">
        <v>1013</v>
      </c>
      <c r="B484" s="165" t="s">
        <v>1014</v>
      </c>
      <c r="C484" s="165" t="s">
        <v>0</v>
      </c>
      <c r="D484" s="166">
        <v>1247.04</v>
      </c>
      <c r="E484" s="166"/>
      <c r="F484" s="166">
        <v>40.9</v>
      </c>
      <c r="G484" s="166"/>
      <c r="I484" s="14" t="str">
        <f>VLOOKUP(A484,bnc_Map!A:C,3,FALSE)</f>
        <v>[BnC-9S13] BnC Small Equipment</v>
      </c>
      <c r="J484" s="19">
        <f t="shared" si="7"/>
        <v>1247.04</v>
      </c>
    </row>
    <row r="485" spans="1:10" x14ac:dyDescent="0.45">
      <c r="A485" s="165" t="s">
        <v>1015</v>
      </c>
      <c r="B485" s="165" t="s">
        <v>1016</v>
      </c>
      <c r="C485" s="165" t="s">
        <v>0</v>
      </c>
      <c r="D485" s="166">
        <v>2554.96</v>
      </c>
      <c r="E485" s="166"/>
      <c r="F485" s="166">
        <v>66.48</v>
      </c>
      <c r="G485" s="166"/>
      <c r="I485" s="14" t="str">
        <f>VLOOKUP(A485,bnc_Map!A:C,3,FALSE)</f>
        <v>[BnC-9S13] BnC Small Equipment</v>
      </c>
      <c r="J485" s="19">
        <f t="shared" si="7"/>
        <v>2554.96</v>
      </c>
    </row>
    <row r="486" spans="1:10" x14ac:dyDescent="0.45">
      <c r="A486" s="165" t="s">
        <v>1017</v>
      </c>
      <c r="B486" s="165" t="s">
        <v>1018</v>
      </c>
      <c r="C486" s="165" t="s">
        <v>0</v>
      </c>
      <c r="D486" s="166">
        <v>9517.68</v>
      </c>
      <c r="E486" s="166"/>
      <c r="F486" s="166"/>
      <c r="G486" s="166"/>
      <c r="I486" s="14" t="str">
        <f>VLOOKUP(A486,bnc_Map!A:C,3,FALSE)</f>
        <v>[BnC-9S13] BnC Small Equipment</v>
      </c>
      <c r="J486" s="19">
        <f t="shared" si="7"/>
        <v>9517.68</v>
      </c>
    </row>
    <row r="487" spans="1:10" x14ac:dyDescent="0.45">
      <c r="A487" s="165" t="s">
        <v>1019</v>
      </c>
      <c r="B487" s="165" t="s">
        <v>1020</v>
      </c>
      <c r="C487" s="165" t="s">
        <v>0</v>
      </c>
      <c r="D487" s="166">
        <v>2313.67</v>
      </c>
      <c r="E487" s="166"/>
      <c r="F487" s="166">
        <v>9.16</v>
      </c>
      <c r="G487" s="166"/>
      <c r="I487" s="14" t="str">
        <f>VLOOKUP(A487,bnc_Map!A:C,3,FALSE)</f>
        <v>[BnC-9S13] BnC Small Equipment</v>
      </c>
      <c r="J487" s="19">
        <f t="shared" si="7"/>
        <v>2313.67</v>
      </c>
    </row>
    <row r="488" spans="1:10" x14ac:dyDescent="0.45">
      <c r="A488" s="165" t="s">
        <v>1021</v>
      </c>
      <c r="B488" s="165" t="s">
        <v>1022</v>
      </c>
      <c r="C488" s="165" t="s">
        <v>0</v>
      </c>
      <c r="D488" s="166">
        <v>1567.83</v>
      </c>
      <c r="E488" s="166"/>
      <c r="F488" s="166">
        <v>1567.83</v>
      </c>
      <c r="G488" s="166"/>
      <c r="I488" s="14" t="str">
        <f>VLOOKUP(A488,bnc_Map!A:C,3,FALSE)</f>
        <v>[BnC-9S13] BnC Small Equipment</v>
      </c>
      <c r="J488" s="19">
        <f t="shared" si="7"/>
        <v>1567.83</v>
      </c>
    </row>
    <row r="489" spans="1:10" x14ac:dyDescent="0.45">
      <c r="A489" s="165" t="s">
        <v>1023</v>
      </c>
      <c r="B489" s="165" t="s">
        <v>1024</v>
      </c>
      <c r="C489" s="165" t="s">
        <v>0</v>
      </c>
      <c r="D489" s="166">
        <v>732.12</v>
      </c>
      <c r="E489" s="166"/>
      <c r="F489" s="166">
        <v>430.79</v>
      </c>
      <c r="G489" s="166"/>
      <c r="I489" s="14" t="str">
        <f>VLOOKUP(A489,bnc_Map!A:C,3,FALSE)</f>
        <v>[BnC-9T01] BnC Transportation</v>
      </c>
      <c r="J489" s="19">
        <f t="shared" si="7"/>
        <v>732.12</v>
      </c>
    </row>
    <row r="490" spans="1:10" x14ac:dyDescent="0.45">
      <c r="A490" s="165" t="s">
        <v>1025</v>
      </c>
      <c r="B490" s="165" t="s">
        <v>1026</v>
      </c>
      <c r="C490" s="165" t="s">
        <v>0</v>
      </c>
      <c r="D490" s="166">
        <v>10467.370000000001</v>
      </c>
      <c r="E490" s="166"/>
      <c r="F490" s="166">
        <v>902.3</v>
      </c>
      <c r="G490" s="166"/>
      <c r="I490" s="14" t="str">
        <f>VLOOKUP(A490,bnc_Map!A:C,3,FALSE)</f>
        <v>[BnC-9T01] BnC Transportation</v>
      </c>
      <c r="J490" s="19">
        <f t="shared" si="7"/>
        <v>10467.370000000001</v>
      </c>
    </row>
    <row r="491" spans="1:10" x14ac:dyDescent="0.45">
      <c r="A491" s="165" t="s">
        <v>1027</v>
      </c>
      <c r="B491" s="165" t="s">
        <v>1028</v>
      </c>
      <c r="C491" s="165" t="s">
        <v>0</v>
      </c>
      <c r="D491" s="166">
        <v>6690.8</v>
      </c>
      <c r="E491" s="166"/>
      <c r="F491" s="166">
        <v>798.1</v>
      </c>
      <c r="G491" s="166"/>
      <c r="I491" s="14" t="str">
        <f>VLOOKUP(A491,bnc_Map!A:C,3,FALSE)</f>
        <v>[BnC-9T01] BnC Transportation</v>
      </c>
      <c r="J491" s="19">
        <f t="shared" si="7"/>
        <v>6690.8</v>
      </c>
    </row>
    <row r="492" spans="1:10" x14ac:dyDescent="0.45">
      <c r="A492" s="165" t="s">
        <v>1029</v>
      </c>
      <c r="B492" s="165" t="s">
        <v>1030</v>
      </c>
      <c r="C492" s="165" t="s">
        <v>0</v>
      </c>
      <c r="D492" s="166">
        <v>3296.62</v>
      </c>
      <c r="E492" s="166"/>
      <c r="F492" s="166">
        <v>249.7</v>
      </c>
      <c r="G492" s="166"/>
      <c r="I492" s="14" t="str">
        <f>VLOOKUP(A492,bnc_Map!A:C,3,FALSE)</f>
        <v>[BnC-9T01] BnC Transportation</v>
      </c>
      <c r="J492" s="19">
        <f t="shared" si="7"/>
        <v>3296.62</v>
      </c>
    </row>
    <row r="493" spans="1:10" x14ac:dyDescent="0.45">
      <c r="A493" s="165" t="s">
        <v>1031</v>
      </c>
      <c r="B493" s="165" t="s">
        <v>1032</v>
      </c>
      <c r="C493" s="165" t="s">
        <v>0</v>
      </c>
      <c r="D493" s="166">
        <v>228.65</v>
      </c>
      <c r="E493" s="166"/>
      <c r="F493" s="166">
        <v>18.2</v>
      </c>
      <c r="G493" s="166"/>
      <c r="I493" s="14" t="str">
        <f>VLOOKUP(A493,bnc_Map!A:C,3,FALSE)</f>
        <v>[BnC-9T01] BnC Transportation</v>
      </c>
      <c r="J493" s="19">
        <f t="shared" si="7"/>
        <v>228.65</v>
      </c>
    </row>
    <row r="494" spans="1:10" x14ac:dyDescent="0.45">
      <c r="A494" s="165" t="s">
        <v>1033</v>
      </c>
      <c r="B494" s="165" t="s">
        <v>1034</v>
      </c>
      <c r="C494" s="165" t="s">
        <v>0</v>
      </c>
      <c r="D494" s="166">
        <v>1941.45</v>
      </c>
      <c r="E494" s="166"/>
      <c r="F494" s="166">
        <v>116.6</v>
      </c>
      <c r="G494" s="166"/>
      <c r="I494" s="14" t="str">
        <f>VLOOKUP(A494,bnc_Map!A:C,3,FALSE)</f>
        <v>[BnC-9T01] BnC Transportation</v>
      </c>
      <c r="J494" s="19">
        <f t="shared" si="7"/>
        <v>1941.45</v>
      </c>
    </row>
    <row r="495" spans="1:10" x14ac:dyDescent="0.45">
      <c r="A495" s="165" t="s">
        <v>1035</v>
      </c>
      <c r="B495" s="165" t="s">
        <v>1036</v>
      </c>
      <c r="C495" s="165" t="s">
        <v>0</v>
      </c>
      <c r="D495" s="166">
        <v>352.95</v>
      </c>
      <c r="E495" s="166"/>
      <c r="F495" s="166"/>
      <c r="G495" s="166"/>
      <c r="I495" s="14" t="str">
        <f>VLOOKUP(A495,bnc_Map!A:C,3,FALSE)</f>
        <v>[BnC-9T01] BnC Transportation</v>
      </c>
      <c r="J495" s="19">
        <f t="shared" si="7"/>
        <v>352.95</v>
      </c>
    </row>
    <row r="496" spans="1:10" x14ac:dyDescent="0.45">
      <c r="A496" s="165" t="s">
        <v>1037</v>
      </c>
      <c r="B496" s="165" t="s">
        <v>1038</v>
      </c>
      <c r="C496" s="165" t="s">
        <v>0</v>
      </c>
      <c r="D496" s="166">
        <v>2517.1999999999998</v>
      </c>
      <c r="E496" s="166"/>
      <c r="F496" s="166">
        <v>258.2</v>
      </c>
      <c r="G496" s="166"/>
      <c r="I496" s="14" t="str">
        <f>VLOOKUP(A496,bnc_Map!A:C,3,FALSE)</f>
        <v>[BnC-9T01] BnC Transportation</v>
      </c>
      <c r="J496" s="19">
        <f t="shared" si="7"/>
        <v>2517.1999999999998</v>
      </c>
    </row>
    <row r="497" spans="1:10" x14ac:dyDescent="0.45">
      <c r="A497" s="165" t="s">
        <v>1039</v>
      </c>
      <c r="B497" s="165" t="s">
        <v>1040</v>
      </c>
      <c r="C497" s="165" t="s">
        <v>0</v>
      </c>
      <c r="D497" s="166">
        <v>1737.83</v>
      </c>
      <c r="E497" s="166"/>
      <c r="F497" s="166">
        <v>506.18</v>
      </c>
      <c r="G497" s="166"/>
      <c r="I497" s="14" t="str">
        <f>VLOOKUP(A497,bnc_Map!A:C,3,FALSE)</f>
        <v>[BnC-9T01] BnC Transportation</v>
      </c>
      <c r="J497" s="19">
        <f t="shared" si="7"/>
        <v>1737.83</v>
      </c>
    </row>
    <row r="498" spans="1:10" x14ac:dyDescent="0.45">
      <c r="A498" s="165" t="s">
        <v>1041</v>
      </c>
      <c r="B498" s="165" t="s">
        <v>1042</v>
      </c>
      <c r="C498" s="165" t="s">
        <v>0</v>
      </c>
      <c r="D498" s="166">
        <v>7479.19</v>
      </c>
      <c r="E498" s="166"/>
      <c r="F498" s="166">
        <v>131.6</v>
      </c>
      <c r="G498" s="166"/>
      <c r="I498" s="14" t="str">
        <f>VLOOKUP(A498,bnc_Map!A:C,3,FALSE)</f>
        <v>[BnC-9T01] BnC Transportation</v>
      </c>
      <c r="J498" s="19">
        <f t="shared" si="7"/>
        <v>7479.19</v>
      </c>
    </row>
    <row r="499" spans="1:10" x14ac:dyDescent="0.45">
      <c r="A499" s="165" t="s">
        <v>1043</v>
      </c>
      <c r="B499" s="165" t="s">
        <v>1044</v>
      </c>
      <c r="C499" s="165" t="s">
        <v>0</v>
      </c>
      <c r="D499" s="166">
        <v>2039.18</v>
      </c>
      <c r="E499" s="166"/>
      <c r="F499" s="166"/>
      <c r="G499" s="166"/>
      <c r="I499" s="14" t="str">
        <f>VLOOKUP(A499,bnc_Map!A:C,3,FALSE)</f>
        <v>[BnC-9T01] BnC Transportation</v>
      </c>
      <c r="J499" s="19">
        <f t="shared" si="7"/>
        <v>2039.18</v>
      </c>
    </row>
    <row r="500" spans="1:10" x14ac:dyDescent="0.45">
      <c r="A500" s="165" t="s">
        <v>1045</v>
      </c>
      <c r="B500" s="165" t="s">
        <v>1046</v>
      </c>
      <c r="C500" s="165" t="s">
        <v>0</v>
      </c>
      <c r="D500" s="166">
        <v>1685.6</v>
      </c>
      <c r="E500" s="166"/>
      <c r="F500" s="166">
        <v>349.9</v>
      </c>
      <c r="G500" s="166"/>
      <c r="I500" s="14" t="str">
        <f>VLOOKUP(A500,bnc_Map!A:C,3,FALSE)</f>
        <v>[BnC-9T01] BnC Transportation</v>
      </c>
      <c r="J500" s="19">
        <f t="shared" si="7"/>
        <v>1685.6</v>
      </c>
    </row>
    <row r="501" spans="1:10" x14ac:dyDescent="0.45">
      <c r="A501" s="165" t="s">
        <v>1047</v>
      </c>
      <c r="B501" s="165" t="s">
        <v>1048</v>
      </c>
      <c r="C501" s="165" t="s">
        <v>0</v>
      </c>
      <c r="D501" s="166">
        <v>4553.6099999999997</v>
      </c>
      <c r="E501" s="166"/>
      <c r="F501" s="166">
        <v>431.75</v>
      </c>
      <c r="G501" s="166"/>
      <c r="I501" s="14" t="str">
        <f>VLOOKUP(A501,bnc_Map!A:C,3,FALSE)</f>
        <v>[BnC-9T01] BnC Transportation</v>
      </c>
      <c r="J501" s="19">
        <f t="shared" si="7"/>
        <v>4553.6099999999997</v>
      </c>
    </row>
    <row r="502" spans="1:10" x14ac:dyDescent="0.45">
      <c r="A502" s="165" t="s">
        <v>1051</v>
      </c>
      <c r="B502" s="165" t="s">
        <v>1052</v>
      </c>
      <c r="C502" s="165" t="s">
        <v>0</v>
      </c>
      <c r="D502" s="166">
        <v>7013.79</v>
      </c>
      <c r="E502" s="166"/>
      <c r="F502" s="166">
        <v>635.86</v>
      </c>
      <c r="G502" s="166"/>
      <c r="I502" s="14" t="str">
        <f>VLOOKUP(A502,bnc_Map!A:C,3,FALSE)</f>
        <v>[BnC-9T01] BnC Taxi Fare</v>
      </c>
      <c r="J502" s="19">
        <f t="shared" si="7"/>
        <v>7013.79</v>
      </c>
    </row>
    <row r="503" spans="1:10" x14ac:dyDescent="0.45">
      <c r="A503" s="165" t="s">
        <v>1053</v>
      </c>
      <c r="B503" s="165" t="s">
        <v>1054</v>
      </c>
      <c r="C503" s="165" t="s">
        <v>0</v>
      </c>
      <c r="D503" s="166">
        <v>35711.339999999997</v>
      </c>
      <c r="E503" s="166"/>
      <c r="F503" s="166">
        <v>3387.39</v>
      </c>
      <c r="G503" s="166"/>
      <c r="I503" s="14" t="str">
        <f>VLOOKUP(A503,bnc_Map!A:C,3,FALSE)</f>
        <v>[BnC-9T02] BnC Telephone and Internet</v>
      </c>
      <c r="J503" s="19">
        <f t="shared" si="7"/>
        <v>35711.339999999997</v>
      </c>
    </row>
    <row r="504" spans="1:10" x14ac:dyDescent="0.45">
      <c r="A504" s="165" t="s">
        <v>1055</v>
      </c>
      <c r="B504" s="165" t="s">
        <v>1056</v>
      </c>
      <c r="C504" s="165" t="s">
        <v>0</v>
      </c>
      <c r="D504" s="166">
        <v>3474.82</v>
      </c>
      <c r="E504" s="166"/>
      <c r="F504" s="166">
        <v>132.02000000000001</v>
      </c>
      <c r="G504" s="166"/>
      <c r="I504" s="14" t="str">
        <f>VLOOKUP(A504,bnc_Map!A:C,3,FALSE)</f>
        <v>[BnC-9T03] BnC Training</v>
      </c>
      <c r="J504" s="19">
        <f t="shared" si="7"/>
        <v>3474.82</v>
      </c>
    </row>
    <row r="505" spans="1:10" x14ac:dyDescent="0.45">
      <c r="A505" s="165" t="s">
        <v>1057</v>
      </c>
      <c r="B505" s="165" t="s">
        <v>1058</v>
      </c>
      <c r="C505" s="165" t="s">
        <v>0</v>
      </c>
      <c r="D505" s="166">
        <v>7039.56</v>
      </c>
      <c r="E505" s="166"/>
      <c r="F505" s="166"/>
      <c r="G505" s="166"/>
      <c r="I505" s="14" t="str">
        <f>VLOOKUP(A505,bnc_Map!A:C,3,FALSE)</f>
        <v>[BnC-9T04] BnC Travelling</v>
      </c>
      <c r="J505" s="19">
        <f t="shared" si="7"/>
        <v>7039.56</v>
      </c>
    </row>
    <row r="506" spans="1:10" x14ac:dyDescent="0.45">
      <c r="A506" s="165" t="s">
        <v>1061</v>
      </c>
      <c r="B506" s="165" t="s">
        <v>1062</v>
      </c>
      <c r="C506" s="165" t="s">
        <v>0</v>
      </c>
      <c r="D506" s="166">
        <v>5913.71</v>
      </c>
      <c r="E506" s="166"/>
      <c r="F506" s="166">
        <v>969.15</v>
      </c>
      <c r="G506" s="166"/>
      <c r="I506" s="14" t="str">
        <f>VLOOKUP(A506,bnc_Map!A:C,3,FALSE)</f>
        <v>[BnC-9T07] BnC Witholding Tax</v>
      </c>
      <c r="J506" s="19">
        <f t="shared" si="7"/>
        <v>5913.71</v>
      </c>
    </row>
    <row r="507" spans="1:10" x14ac:dyDescent="0.45">
      <c r="A507" s="165" t="s">
        <v>1063</v>
      </c>
      <c r="B507" s="165" t="s">
        <v>1064</v>
      </c>
      <c r="C507" s="165" t="s">
        <v>0</v>
      </c>
      <c r="D507" s="166">
        <v>24874.959999999999</v>
      </c>
      <c r="E507" s="166"/>
      <c r="F507" s="166">
        <v>2100.7800000000002</v>
      </c>
      <c r="G507" s="166"/>
      <c r="I507" s="14" t="str">
        <f>VLOOKUP(A507,bnc_Map!A:C,3,FALSE)</f>
        <v>[BnC-9U01] BnC Uniform</v>
      </c>
      <c r="J507" s="19">
        <f t="shared" si="7"/>
        <v>24874.959999999999</v>
      </c>
    </row>
    <row r="508" spans="1:10" x14ac:dyDescent="0.45">
      <c r="A508" s="165" t="s">
        <v>1065</v>
      </c>
      <c r="B508" s="165" t="s">
        <v>1066</v>
      </c>
      <c r="C508" s="165" t="s">
        <v>0</v>
      </c>
      <c r="D508" s="166">
        <v>2489.94</v>
      </c>
      <c r="E508" s="166"/>
      <c r="F508" s="166">
        <v>175.86</v>
      </c>
      <c r="G508" s="166"/>
      <c r="I508" s="14" t="str">
        <f>VLOOKUP(A508,bnc_Map!A:C,3,FALSE)</f>
        <v>[BnC-9W01] BnC Water</v>
      </c>
      <c r="J508" s="19">
        <f t="shared" si="7"/>
        <v>2489.94</v>
      </c>
    </row>
    <row r="509" spans="1:10" x14ac:dyDescent="0.45">
      <c r="A509" s="165" t="s">
        <v>1067</v>
      </c>
      <c r="B509" s="165" t="s">
        <v>1068</v>
      </c>
      <c r="C509" s="165" t="s">
        <v>0</v>
      </c>
      <c r="D509" s="166">
        <v>2347.71</v>
      </c>
      <c r="E509" s="166"/>
      <c r="F509" s="166">
        <v>210.86</v>
      </c>
      <c r="G509" s="166"/>
      <c r="I509" s="14" t="str">
        <f>VLOOKUP(A509,bnc_Map!A:C,3,FALSE)</f>
        <v>[BnC-9W01] BnC Water</v>
      </c>
      <c r="J509" s="19">
        <f t="shared" si="7"/>
        <v>2347.71</v>
      </c>
    </row>
    <row r="510" spans="1:10" x14ac:dyDescent="0.45">
      <c r="A510" s="165" t="s">
        <v>1069</v>
      </c>
      <c r="B510" s="165" t="s">
        <v>1070</v>
      </c>
      <c r="C510" s="165" t="s">
        <v>0</v>
      </c>
      <c r="D510" s="166">
        <v>1841.48</v>
      </c>
      <c r="E510" s="166"/>
      <c r="F510" s="166">
        <v>229.74</v>
      </c>
      <c r="G510" s="166"/>
      <c r="I510" s="14" t="str">
        <f>VLOOKUP(A510,bnc_Map!A:C,3,FALSE)</f>
        <v>[BnC-9W01] BnC Water</v>
      </c>
      <c r="J510" s="19">
        <f t="shared" si="7"/>
        <v>1841.48</v>
      </c>
    </row>
    <row r="511" spans="1:10" x14ac:dyDescent="0.45">
      <c r="A511" s="165" t="s">
        <v>1071</v>
      </c>
      <c r="B511" s="165" t="s">
        <v>1072</v>
      </c>
      <c r="C511" s="165" t="s">
        <v>0</v>
      </c>
      <c r="D511" s="166">
        <v>548.91</v>
      </c>
      <c r="E511" s="166"/>
      <c r="F511" s="166">
        <v>45.13</v>
      </c>
      <c r="G511" s="166"/>
      <c r="I511" s="14" t="str">
        <f>VLOOKUP(A511,bnc_Map!A:C,3,FALSE)</f>
        <v>[BnC-9W01] BnC Water</v>
      </c>
      <c r="J511" s="19">
        <f t="shared" si="7"/>
        <v>548.91</v>
      </c>
    </row>
    <row r="512" spans="1:10" x14ac:dyDescent="0.45">
      <c r="A512" s="165" t="s">
        <v>1073</v>
      </c>
      <c r="B512" s="165" t="s">
        <v>1074</v>
      </c>
      <c r="C512" s="165" t="s">
        <v>0</v>
      </c>
      <c r="D512" s="166">
        <v>3445.6</v>
      </c>
      <c r="E512" s="166"/>
      <c r="F512" s="166">
        <v>212.11</v>
      </c>
      <c r="G512" s="166"/>
      <c r="I512" s="14" t="str">
        <f>VLOOKUP(A512,bnc_Map!A:C,3,FALSE)</f>
        <v>[BnC-9W01] BnC Water</v>
      </c>
      <c r="J512" s="19">
        <f t="shared" si="7"/>
        <v>3445.6</v>
      </c>
    </row>
    <row r="513" spans="1:10" x14ac:dyDescent="0.45">
      <c r="A513" s="165" t="s">
        <v>1075</v>
      </c>
      <c r="B513" s="165" t="s">
        <v>1076</v>
      </c>
      <c r="C513" s="165" t="s">
        <v>0</v>
      </c>
      <c r="D513" s="166">
        <v>945.51</v>
      </c>
      <c r="E513" s="166"/>
      <c r="F513" s="166">
        <v>102.29</v>
      </c>
      <c r="G513" s="166"/>
      <c r="I513" s="14" t="str">
        <f>VLOOKUP(A513,bnc_Map!A:C,3,FALSE)</f>
        <v>[BnC-9W01] BnC Water</v>
      </c>
      <c r="J513" s="19">
        <f t="shared" si="7"/>
        <v>945.51</v>
      </c>
    </row>
    <row r="514" spans="1:10" x14ac:dyDescent="0.45">
      <c r="A514" s="165" t="s">
        <v>1077</v>
      </c>
      <c r="B514" s="165" t="s">
        <v>1078</v>
      </c>
      <c r="C514" s="165" t="s">
        <v>0</v>
      </c>
      <c r="D514" s="166">
        <v>1635.54</v>
      </c>
      <c r="E514" s="166"/>
      <c r="F514" s="166">
        <v>153.16</v>
      </c>
      <c r="G514" s="166"/>
      <c r="I514" s="14" t="str">
        <f>VLOOKUP(A514,bnc_Map!A:C,3,FALSE)</f>
        <v>[BnC-9W01] BnC Water</v>
      </c>
      <c r="J514" s="19">
        <f t="shared" si="7"/>
        <v>1635.54</v>
      </c>
    </row>
    <row r="515" spans="1:10" x14ac:dyDescent="0.45">
      <c r="A515" s="165" t="s">
        <v>1079</v>
      </c>
      <c r="B515" s="165" t="s">
        <v>1080</v>
      </c>
      <c r="C515" s="165" t="s">
        <v>0</v>
      </c>
      <c r="D515" s="166">
        <v>1787.04</v>
      </c>
      <c r="E515" s="166"/>
      <c r="F515" s="166">
        <v>155.35</v>
      </c>
      <c r="G515" s="166"/>
      <c r="I515" s="14" t="str">
        <f>VLOOKUP(A515,bnc_Map!A:C,3,FALSE)</f>
        <v>[BnC-9W01] BnC Water</v>
      </c>
      <c r="J515" s="19">
        <f t="shared" si="7"/>
        <v>1787.04</v>
      </c>
    </row>
    <row r="516" spans="1:10" x14ac:dyDescent="0.45">
      <c r="A516" s="165" t="s">
        <v>1081</v>
      </c>
      <c r="B516" s="165" t="s">
        <v>1082</v>
      </c>
      <c r="C516" s="165" t="s">
        <v>0</v>
      </c>
      <c r="D516" s="166">
        <v>2354.02</v>
      </c>
      <c r="E516" s="166"/>
      <c r="F516" s="166">
        <v>317.81</v>
      </c>
      <c r="G516" s="166"/>
      <c r="I516" s="14" t="str">
        <f>VLOOKUP(A516,bnc_Map!A:C,3,FALSE)</f>
        <v>[BnC-9W01] BnC Water</v>
      </c>
      <c r="J516" s="19">
        <f t="shared" si="7"/>
        <v>2354.02</v>
      </c>
    </row>
    <row r="517" spans="1:10" x14ac:dyDescent="0.45">
      <c r="A517" s="165" t="s">
        <v>1083</v>
      </c>
      <c r="B517" s="165" t="s">
        <v>1084</v>
      </c>
      <c r="C517" s="165" t="s">
        <v>0</v>
      </c>
      <c r="D517" s="166">
        <v>3467.98</v>
      </c>
      <c r="E517" s="166"/>
      <c r="F517" s="166"/>
      <c r="G517" s="166"/>
      <c r="I517" s="14" t="str">
        <f>VLOOKUP(A517,bnc_Map!A:C,3,FALSE)</f>
        <v>[BnC-9W01] BnC Water</v>
      </c>
      <c r="J517" s="19">
        <f t="shared" si="7"/>
        <v>3467.98</v>
      </c>
    </row>
    <row r="518" spans="1:10" x14ac:dyDescent="0.45">
      <c r="A518" s="165" t="s">
        <v>1085</v>
      </c>
      <c r="B518" s="165" t="s">
        <v>1086</v>
      </c>
      <c r="C518" s="165" t="s">
        <v>0</v>
      </c>
      <c r="D518" s="166">
        <v>1496.04</v>
      </c>
      <c r="E518" s="166"/>
      <c r="F518" s="166">
        <v>120.61</v>
      </c>
      <c r="G518" s="166"/>
      <c r="I518" s="14" t="str">
        <f>VLOOKUP(A518,bnc_Map!A:C,3,FALSE)</f>
        <v>[BnC-9W01] BnC Water</v>
      </c>
      <c r="J518" s="19">
        <f t="shared" ref="J518:J519" si="8">D518-E518</f>
        <v>1496.04</v>
      </c>
    </row>
    <row r="519" spans="1:10" x14ac:dyDescent="0.45">
      <c r="A519" s="165" t="s">
        <v>1087</v>
      </c>
      <c r="B519" s="165" t="s">
        <v>1088</v>
      </c>
      <c r="C519" s="165" t="s">
        <v>0</v>
      </c>
      <c r="D519" s="166">
        <v>32.28</v>
      </c>
      <c r="E519" s="166"/>
      <c r="F519" s="166">
        <v>32.28</v>
      </c>
      <c r="G519" s="166"/>
      <c r="I519" s="14" t="str">
        <f>VLOOKUP(A519,bnc_Map!A:C,3,FALSE)</f>
        <v>[BnC-9W01] BnC Water</v>
      </c>
      <c r="J519" s="19">
        <f t="shared" si="8"/>
        <v>32.28</v>
      </c>
    </row>
  </sheetData>
  <sheetProtection algorithmName="SHA-512" hashValue="tux1Zh0C5X6W0HeTT5xi7CuoItXovzYFcw75Tu5k6yMTggqBeAif8I0awnFH7XqVuDQro0eNn+CWSoSgQvCWPw==" saltValue="PR2H7iH5gZWOCvWDTryFfQ==" spinCount="100000" sheet="1" objects="1" scenarios="1" selectLockedCells="1" selectUnlockedCells="1"/>
  <mergeCells count="3">
    <mergeCell ref="A1:G1"/>
    <mergeCell ref="A2:G2"/>
    <mergeCell ref="A3:G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9EFA2-3B24-430C-847E-49D9A3EA09B2}">
  <dimension ref="B1:C347"/>
  <sheetViews>
    <sheetView workbookViewId="0">
      <selection activeCell="E1" sqref="E1"/>
    </sheetView>
  </sheetViews>
  <sheetFormatPr defaultRowHeight="14.25" x14ac:dyDescent="0.45"/>
  <cols>
    <col min="2" max="2" width="49.9296875" style="109" bestFit="1" customWidth="1"/>
    <col min="3" max="3" width="31.73046875" style="109" customWidth="1"/>
  </cols>
  <sheetData>
    <row r="1" spans="2:3" x14ac:dyDescent="0.45">
      <c r="B1" s="108" t="s">
        <v>1562</v>
      </c>
      <c r="C1" s="108" t="s">
        <v>1563</v>
      </c>
    </row>
    <row r="2" spans="2:3" x14ac:dyDescent="0.45">
      <c r="B2" s="109" t="s">
        <v>1092</v>
      </c>
      <c r="C2" s="109" t="s">
        <v>1658</v>
      </c>
    </row>
    <row r="3" spans="2:3" x14ac:dyDescent="0.45">
      <c r="B3" s="109" t="s">
        <v>1093</v>
      </c>
      <c r="C3" s="109" t="s">
        <v>1658</v>
      </c>
    </row>
    <row r="4" spans="2:3" x14ac:dyDescent="0.45">
      <c r="B4" s="109" t="s">
        <v>1413</v>
      </c>
      <c r="C4" s="109" t="s">
        <v>1658</v>
      </c>
    </row>
    <row r="5" spans="2:3" x14ac:dyDescent="0.45">
      <c r="B5" s="109" t="s">
        <v>1388</v>
      </c>
      <c r="C5" s="109" t="s">
        <v>1658</v>
      </c>
    </row>
    <row r="6" spans="2:3" x14ac:dyDescent="0.45">
      <c r="B6" s="109" t="s">
        <v>1414</v>
      </c>
      <c r="C6" s="109" t="s">
        <v>1658</v>
      </c>
    </row>
    <row r="7" spans="2:3" x14ac:dyDescent="0.45">
      <c r="B7" s="109" t="s">
        <v>1094</v>
      </c>
      <c r="C7" s="109" t="s">
        <v>1658</v>
      </c>
    </row>
    <row r="8" spans="2:3" x14ac:dyDescent="0.45">
      <c r="B8" s="109" t="s">
        <v>1095</v>
      </c>
      <c r="C8" s="109" t="s">
        <v>1658</v>
      </c>
    </row>
    <row r="9" spans="2:3" x14ac:dyDescent="0.45">
      <c r="B9" s="109" t="s">
        <v>1096</v>
      </c>
      <c r="C9" s="109" t="s">
        <v>1658</v>
      </c>
    </row>
    <row r="10" spans="2:3" x14ac:dyDescent="0.45">
      <c r="B10" s="109" t="s">
        <v>1097</v>
      </c>
      <c r="C10" s="109" t="s">
        <v>1658</v>
      </c>
    </row>
    <row r="11" spans="2:3" x14ac:dyDescent="0.45">
      <c r="B11" s="109" t="s">
        <v>1555</v>
      </c>
      <c r="C11" s="109" t="s">
        <v>1658</v>
      </c>
    </row>
    <row r="12" spans="2:3" x14ac:dyDescent="0.45">
      <c r="B12" s="109" t="s">
        <v>1098</v>
      </c>
      <c r="C12" s="109" t="s">
        <v>1658</v>
      </c>
    </row>
    <row r="13" spans="2:3" x14ac:dyDescent="0.45">
      <c r="B13" s="109" t="s">
        <v>1099</v>
      </c>
      <c r="C13" s="109" t="s">
        <v>1658</v>
      </c>
    </row>
    <row r="14" spans="2:3" x14ac:dyDescent="0.45">
      <c r="B14" s="109" t="s">
        <v>1415</v>
      </c>
      <c r="C14" s="109" t="s">
        <v>1658</v>
      </c>
    </row>
    <row r="15" spans="2:3" x14ac:dyDescent="0.45">
      <c r="B15" s="109" t="s">
        <v>1416</v>
      </c>
      <c r="C15" s="109" t="s">
        <v>1658</v>
      </c>
    </row>
    <row r="16" spans="2:3" x14ac:dyDescent="0.45">
      <c r="B16" s="109" t="s">
        <v>1417</v>
      </c>
      <c r="C16" s="109" t="s">
        <v>1658</v>
      </c>
    </row>
    <row r="17" spans="2:3" x14ac:dyDescent="0.45">
      <c r="B17" s="109" t="s">
        <v>1418</v>
      </c>
      <c r="C17" s="109" t="s">
        <v>1658</v>
      </c>
    </row>
    <row r="18" spans="2:3" x14ac:dyDescent="0.45">
      <c r="B18" s="109" t="s">
        <v>1389</v>
      </c>
      <c r="C18" s="109" t="s">
        <v>1658</v>
      </c>
    </row>
    <row r="19" spans="2:3" x14ac:dyDescent="0.45">
      <c r="B19" s="109" t="s">
        <v>1419</v>
      </c>
      <c r="C19" s="109" t="s">
        <v>1658</v>
      </c>
    </row>
    <row r="20" spans="2:3" x14ac:dyDescent="0.45">
      <c r="B20" s="109" t="s">
        <v>1100</v>
      </c>
      <c r="C20" s="109" t="s">
        <v>1659</v>
      </c>
    </row>
    <row r="21" spans="2:3" x14ac:dyDescent="0.45">
      <c r="B21" s="109" t="s">
        <v>1101</v>
      </c>
      <c r="C21" s="109" t="s">
        <v>1659</v>
      </c>
    </row>
    <row r="22" spans="2:3" x14ac:dyDescent="0.45">
      <c r="B22" s="109" t="s">
        <v>1102</v>
      </c>
      <c r="C22" s="109" t="s">
        <v>1659</v>
      </c>
    </row>
    <row r="23" spans="2:3" x14ac:dyDescent="0.45">
      <c r="B23" s="109" t="s">
        <v>1387</v>
      </c>
      <c r="C23" s="109" t="s">
        <v>1659</v>
      </c>
    </row>
    <row r="24" spans="2:3" x14ac:dyDescent="0.45">
      <c r="B24" s="109" t="s">
        <v>1103</v>
      </c>
      <c r="C24" s="109" t="s">
        <v>1659</v>
      </c>
    </row>
    <row r="25" spans="2:3" x14ac:dyDescent="0.45">
      <c r="B25" s="109" t="s">
        <v>1104</v>
      </c>
      <c r="C25" s="109" t="s">
        <v>1659</v>
      </c>
    </row>
    <row r="26" spans="2:3" x14ac:dyDescent="0.45">
      <c r="B26" s="109" t="s">
        <v>1105</v>
      </c>
      <c r="C26" s="109" t="s">
        <v>1659</v>
      </c>
    </row>
    <row r="27" spans="2:3" x14ac:dyDescent="0.45">
      <c r="B27" s="109" t="s">
        <v>1106</v>
      </c>
      <c r="C27" s="109" t="s">
        <v>1659</v>
      </c>
    </row>
    <row r="28" spans="2:3" x14ac:dyDescent="0.45">
      <c r="B28" s="109" t="s">
        <v>1107</v>
      </c>
      <c r="C28" s="109" t="s">
        <v>1659</v>
      </c>
    </row>
    <row r="29" spans="2:3" x14ac:dyDescent="0.45">
      <c r="B29" s="109" t="s">
        <v>1108</v>
      </c>
      <c r="C29" s="109" t="s">
        <v>1659</v>
      </c>
    </row>
    <row r="30" spans="2:3" x14ac:dyDescent="0.45">
      <c r="B30" s="109" t="s">
        <v>1109</v>
      </c>
      <c r="C30" s="109" t="s">
        <v>1659</v>
      </c>
    </row>
    <row r="31" spans="2:3" x14ac:dyDescent="0.45">
      <c r="B31" s="109" t="s">
        <v>1110</v>
      </c>
      <c r="C31" s="109" t="s">
        <v>1660</v>
      </c>
    </row>
    <row r="32" spans="2:3" x14ac:dyDescent="0.45">
      <c r="B32" s="109" t="s">
        <v>1111</v>
      </c>
      <c r="C32" s="109" t="s">
        <v>1660</v>
      </c>
    </row>
    <row r="33" spans="2:3" x14ac:dyDescent="0.45">
      <c r="B33" s="109" t="s">
        <v>1112</v>
      </c>
      <c r="C33" s="109" t="s">
        <v>1660</v>
      </c>
    </row>
    <row r="34" spans="2:3" x14ac:dyDescent="0.45">
      <c r="B34" s="109" t="s">
        <v>1113</v>
      </c>
      <c r="C34" s="109" t="s">
        <v>1660</v>
      </c>
    </row>
    <row r="35" spans="2:3" x14ac:dyDescent="0.45">
      <c r="B35" s="109" t="s">
        <v>1114</v>
      </c>
      <c r="C35" s="109" t="s">
        <v>1660</v>
      </c>
    </row>
    <row r="36" spans="2:3" x14ac:dyDescent="0.45">
      <c r="B36" s="109" t="s">
        <v>1115</v>
      </c>
      <c r="C36" s="109" t="s">
        <v>1660</v>
      </c>
    </row>
    <row r="37" spans="2:3" x14ac:dyDescent="0.45">
      <c r="B37" s="109" t="s">
        <v>1116</v>
      </c>
      <c r="C37" s="109" t="s">
        <v>1660</v>
      </c>
    </row>
    <row r="38" spans="2:3" x14ac:dyDescent="0.45">
      <c r="B38" s="109" t="s">
        <v>1392</v>
      </c>
      <c r="C38" s="109" t="s">
        <v>1660</v>
      </c>
    </row>
    <row r="39" spans="2:3" x14ac:dyDescent="0.45">
      <c r="B39" s="109" t="s">
        <v>1117</v>
      </c>
      <c r="C39" s="109" t="s">
        <v>1659</v>
      </c>
    </row>
    <row r="40" spans="2:3" x14ac:dyDescent="0.45">
      <c r="B40" s="109" t="s">
        <v>1422</v>
      </c>
      <c r="C40" s="109" t="s">
        <v>1659</v>
      </c>
    </row>
    <row r="41" spans="2:3" x14ac:dyDescent="0.45">
      <c r="B41" s="109" t="s">
        <v>1556</v>
      </c>
      <c r="C41" s="109" t="s">
        <v>1659</v>
      </c>
    </row>
    <row r="42" spans="2:3" x14ac:dyDescent="0.45">
      <c r="B42" s="109" t="s">
        <v>1118</v>
      </c>
      <c r="C42" s="109" t="s">
        <v>1118</v>
      </c>
    </row>
    <row r="43" spans="2:3" x14ac:dyDescent="0.45">
      <c r="B43" s="109" t="s">
        <v>1391</v>
      </c>
      <c r="C43" s="109" t="s">
        <v>1118</v>
      </c>
    </row>
    <row r="44" spans="2:3" x14ac:dyDescent="0.45">
      <c r="B44" s="109" t="s">
        <v>1119</v>
      </c>
      <c r="C44" s="109" t="s">
        <v>1659</v>
      </c>
    </row>
    <row r="45" spans="2:3" x14ac:dyDescent="0.45">
      <c r="B45" s="109" t="s">
        <v>1120</v>
      </c>
      <c r="C45" s="109" t="s">
        <v>1659</v>
      </c>
    </row>
    <row r="46" spans="2:3" x14ac:dyDescent="0.45">
      <c r="B46" s="109" t="s">
        <v>1121</v>
      </c>
      <c r="C46" s="109" t="s">
        <v>1659</v>
      </c>
    </row>
    <row r="47" spans="2:3" x14ac:dyDescent="0.45">
      <c r="B47" s="109" t="s">
        <v>1122</v>
      </c>
      <c r="C47" s="109" t="s">
        <v>1659</v>
      </c>
    </row>
    <row r="48" spans="2:3" x14ac:dyDescent="0.45">
      <c r="B48" s="109" t="s">
        <v>1390</v>
      </c>
      <c r="C48" s="109" t="s">
        <v>1659</v>
      </c>
    </row>
    <row r="49" spans="2:3" x14ac:dyDescent="0.45">
      <c r="B49" s="109" t="s">
        <v>1123</v>
      </c>
      <c r="C49" s="109" t="s">
        <v>1659</v>
      </c>
    </row>
    <row r="50" spans="2:3" x14ac:dyDescent="0.45">
      <c r="B50" s="109" t="s">
        <v>1124</v>
      </c>
      <c r="C50" s="109" t="s">
        <v>1659</v>
      </c>
    </row>
    <row r="51" spans="2:3" x14ac:dyDescent="0.45">
      <c r="B51" s="109" t="s">
        <v>1420</v>
      </c>
      <c r="C51" s="109" t="s">
        <v>1659</v>
      </c>
    </row>
    <row r="52" spans="2:3" x14ac:dyDescent="0.45">
      <c r="B52" s="109" t="s">
        <v>1125</v>
      </c>
      <c r="C52" s="109" t="s">
        <v>1661</v>
      </c>
    </row>
    <row r="53" spans="2:3" x14ac:dyDescent="0.45">
      <c r="B53" s="109" t="s">
        <v>1126</v>
      </c>
      <c r="C53" s="109" t="s">
        <v>1662</v>
      </c>
    </row>
    <row r="54" spans="2:3" x14ac:dyDescent="0.45">
      <c r="B54" s="109" t="s">
        <v>1127</v>
      </c>
      <c r="C54" s="109" t="s">
        <v>1662</v>
      </c>
    </row>
    <row r="55" spans="2:3" x14ac:dyDescent="0.45">
      <c r="B55" s="109" t="s">
        <v>1128</v>
      </c>
      <c r="C55" s="109" t="s">
        <v>1662</v>
      </c>
    </row>
    <row r="56" spans="2:3" x14ac:dyDescent="0.45">
      <c r="B56" s="109" t="s">
        <v>1129</v>
      </c>
      <c r="C56" s="109" t="s">
        <v>1662</v>
      </c>
    </row>
    <row r="57" spans="2:3" x14ac:dyDescent="0.45">
      <c r="B57" s="109" t="s">
        <v>1130</v>
      </c>
      <c r="C57" s="109" t="s">
        <v>1662</v>
      </c>
    </row>
    <row r="58" spans="2:3" x14ac:dyDescent="0.45">
      <c r="B58" s="109" t="s">
        <v>1131</v>
      </c>
      <c r="C58" s="109" t="s">
        <v>1662</v>
      </c>
    </row>
    <row r="59" spans="2:3" x14ac:dyDescent="0.45">
      <c r="B59" s="109" t="s">
        <v>1132</v>
      </c>
      <c r="C59" s="109" t="s">
        <v>1662</v>
      </c>
    </row>
    <row r="60" spans="2:3" x14ac:dyDescent="0.45">
      <c r="B60" s="109" t="s">
        <v>1133</v>
      </c>
      <c r="C60" s="109" t="s">
        <v>1662</v>
      </c>
    </row>
    <row r="61" spans="2:3" x14ac:dyDescent="0.45">
      <c r="B61" s="109" t="s">
        <v>1134</v>
      </c>
      <c r="C61" s="109" t="s">
        <v>1662</v>
      </c>
    </row>
    <row r="62" spans="2:3" x14ac:dyDescent="0.45">
      <c r="B62" s="109" t="s">
        <v>1135</v>
      </c>
      <c r="C62" s="109" t="s">
        <v>1662</v>
      </c>
    </row>
    <row r="63" spans="2:3" x14ac:dyDescent="0.45">
      <c r="B63" s="109" t="s">
        <v>1136</v>
      </c>
      <c r="C63" s="109" t="s">
        <v>1662</v>
      </c>
    </row>
    <row r="64" spans="2:3" x14ac:dyDescent="0.45">
      <c r="B64" s="109" t="s">
        <v>1398</v>
      </c>
      <c r="C64" s="109" t="s">
        <v>1662</v>
      </c>
    </row>
    <row r="65" spans="2:3" x14ac:dyDescent="0.45">
      <c r="B65" s="109" t="s">
        <v>1399</v>
      </c>
      <c r="C65" s="109" t="s">
        <v>1662</v>
      </c>
    </row>
    <row r="66" spans="2:3" x14ac:dyDescent="0.45">
      <c r="B66" s="109" t="s">
        <v>1400</v>
      </c>
      <c r="C66" s="109" t="s">
        <v>1662</v>
      </c>
    </row>
    <row r="67" spans="2:3" x14ac:dyDescent="0.45">
      <c r="B67" s="109" t="s">
        <v>1401</v>
      </c>
      <c r="C67" s="109" t="s">
        <v>1662</v>
      </c>
    </row>
    <row r="68" spans="2:3" x14ac:dyDescent="0.45">
      <c r="B68" s="109" t="s">
        <v>1402</v>
      </c>
      <c r="C68" s="109" t="s">
        <v>1662</v>
      </c>
    </row>
    <row r="69" spans="2:3" x14ac:dyDescent="0.45">
      <c r="B69" s="109" t="s">
        <v>1403</v>
      </c>
      <c r="C69" s="109" t="s">
        <v>1662</v>
      </c>
    </row>
    <row r="70" spans="2:3" x14ac:dyDescent="0.45">
      <c r="B70" s="109" t="s">
        <v>1386</v>
      </c>
      <c r="C70" s="109" t="s">
        <v>1662</v>
      </c>
    </row>
    <row r="71" spans="2:3" x14ac:dyDescent="0.45">
      <c r="B71" s="109" t="s">
        <v>1404</v>
      </c>
      <c r="C71" s="109" t="s">
        <v>1662</v>
      </c>
    </row>
    <row r="72" spans="2:3" x14ac:dyDescent="0.45">
      <c r="B72" s="109" t="s">
        <v>1405</v>
      </c>
      <c r="C72" s="109" t="s">
        <v>1662</v>
      </c>
    </row>
    <row r="73" spans="2:3" x14ac:dyDescent="0.45">
      <c r="B73" s="109" t="s">
        <v>1406</v>
      </c>
      <c r="C73" s="109" t="s">
        <v>1662</v>
      </c>
    </row>
    <row r="74" spans="2:3" x14ac:dyDescent="0.45">
      <c r="B74" s="109" t="s">
        <v>1407</v>
      </c>
      <c r="C74" s="109" t="s">
        <v>1662</v>
      </c>
    </row>
    <row r="75" spans="2:3" x14ac:dyDescent="0.45">
      <c r="B75" s="109" t="s">
        <v>1408</v>
      </c>
      <c r="C75" s="109" t="s">
        <v>1662</v>
      </c>
    </row>
    <row r="76" spans="2:3" x14ac:dyDescent="0.45">
      <c r="B76" s="109" t="s">
        <v>1409</v>
      </c>
      <c r="C76" s="109" t="s">
        <v>1662</v>
      </c>
    </row>
    <row r="77" spans="2:3" x14ac:dyDescent="0.45">
      <c r="B77" s="109" t="s">
        <v>1410</v>
      </c>
      <c r="C77" s="109" t="s">
        <v>1662</v>
      </c>
    </row>
    <row r="78" spans="2:3" x14ac:dyDescent="0.45">
      <c r="B78" s="109" t="s">
        <v>1411</v>
      </c>
      <c r="C78" s="109" t="s">
        <v>1662</v>
      </c>
    </row>
    <row r="79" spans="2:3" x14ac:dyDescent="0.45">
      <c r="B79" s="109" t="s">
        <v>1412</v>
      </c>
      <c r="C79" s="109" t="s">
        <v>1662</v>
      </c>
    </row>
    <row r="80" spans="2:3" x14ac:dyDescent="0.45">
      <c r="B80" s="109" t="s">
        <v>1421</v>
      </c>
      <c r="C80" s="109" t="s">
        <v>1663</v>
      </c>
    </row>
    <row r="81" spans="2:3" x14ac:dyDescent="0.45">
      <c r="B81" s="109" t="s">
        <v>1137</v>
      </c>
      <c r="C81" s="109" t="s">
        <v>1665</v>
      </c>
    </row>
    <row r="82" spans="2:3" x14ac:dyDescent="0.45">
      <c r="B82" s="109" t="s">
        <v>1138</v>
      </c>
      <c r="C82" s="109" t="s">
        <v>1664</v>
      </c>
    </row>
    <row r="83" spans="2:3" x14ac:dyDescent="0.45">
      <c r="B83" s="109" t="s">
        <v>1139</v>
      </c>
      <c r="C83" s="109" t="s">
        <v>1664</v>
      </c>
    </row>
    <row r="84" spans="2:3" x14ac:dyDescent="0.45">
      <c r="B84" s="109" t="s">
        <v>1140</v>
      </c>
      <c r="C84" s="109" t="s">
        <v>1666</v>
      </c>
    </row>
    <row r="85" spans="2:3" x14ac:dyDescent="0.45">
      <c r="B85" s="109" t="s">
        <v>1141</v>
      </c>
      <c r="C85" s="109" t="s">
        <v>1666</v>
      </c>
    </row>
    <row r="86" spans="2:3" x14ac:dyDescent="0.45">
      <c r="B86" s="109" t="s">
        <v>1142</v>
      </c>
      <c r="C86" s="109" t="s">
        <v>1666</v>
      </c>
    </row>
    <row r="87" spans="2:3" x14ac:dyDescent="0.45">
      <c r="B87" s="109" t="s">
        <v>1143</v>
      </c>
      <c r="C87" s="109" t="s">
        <v>1666</v>
      </c>
    </row>
    <row r="88" spans="2:3" x14ac:dyDescent="0.45">
      <c r="B88" s="109" t="s">
        <v>1144</v>
      </c>
      <c r="C88" s="109" t="s">
        <v>1666</v>
      </c>
    </row>
    <row r="89" spans="2:3" x14ac:dyDescent="0.45">
      <c r="B89" s="109" t="s">
        <v>1557</v>
      </c>
      <c r="C89" s="109" t="s">
        <v>1666</v>
      </c>
    </row>
    <row r="90" spans="2:3" x14ac:dyDescent="0.45">
      <c r="B90" s="109" t="s">
        <v>1145</v>
      </c>
      <c r="C90" s="109" t="s">
        <v>1666</v>
      </c>
    </row>
    <row r="91" spans="2:3" x14ac:dyDescent="0.45">
      <c r="B91" s="109" t="s">
        <v>1393</v>
      </c>
      <c r="C91" s="109" t="s">
        <v>1666</v>
      </c>
    </row>
    <row r="92" spans="2:3" x14ac:dyDescent="0.45">
      <c r="B92" s="109" t="s">
        <v>1146</v>
      </c>
      <c r="C92" s="109" t="s">
        <v>1666</v>
      </c>
    </row>
    <row r="93" spans="2:3" x14ac:dyDescent="0.45">
      <c r="B93" s="109" t="s">
        <v>1394</v>
      </c>
      <c r="C93" s="109" t="s">
        <v>1666</v>
      </c>
    </row>
    <row r="94" spans="2:3" x14ac:dyDescent="0.45">
      <c r="B94" s="109" t="s">
        <v>1423</v>
      </c>
      <c r="C94" s="109" t="s">
        <v>1666</v>
      </c>
    </row>
    <row r="95" spans="2:3" x14ac:dyDescent="0.45">
      <c r="B95" s="109" t="s">
        <v>1427</v>
      </c>
      <c r="C95" s="109" t="s">
        <v>1666</v>
      </c>
    </row>
    <row r="96" spans="2:3" x14ac:dyDescent="0.45">
      <c r="B96" s="109" t="s">
        <v>1397</v>
      </c>
      <c r="C96" s="109" t="s">
        <v>1666</v>
      </c>
    </row>
    <row r="97" spans="2:3" x14ac:dyDescent="0.45">
      <c r="B97" s="109" t="s">
        <v>1147</v>
      </c>
      <c r="C97" s="109" t="s">
        <v>1666</v>
      </c>
    </row>
    <row r="98" spans="2:3" x14ac:dyDescent="0.45">
      <c r="B98" s="109" t="s">
        <v>1424</v>
      </c>
      <c r="C98" s="109" t="s">
        <v>1666</v>
      </c>
    </row>
    <row r="99" spans="2:3" x14ac:dyDescent="0.45">
      <c r="B99" s="109" t="s">
        <v>1148</v>
      </c>
      <c r="C99" s="109" t="s">
        <v>1666</v>
      </c>
    </row>
    <row r="100" spans="2:3" x14ac:dyDescent="0.45">
      <c r="B100" s="109" t="s">
        <v>1428</v>
      </c>
      <c r="C100" s="109" t="s">
        <v>1666</v>
      </c>
    </row>
    <row r="101" spans="2:3" x14ac:dyDescent="0.45">
      <c r="B101" s="109" t="s">
        <v>1429</v>
      </c>
      <c r="C101" s="109" t="s">
        <v>1666</v>
      </c>
    </row>
    <row r="102" spans="2:3" x14ac:dyDescent="0.45">
      <c r="B102" s="109" t="s">
        <v>1149</v>
      </c>
      <c r="C102" s="109" t="s">
        <v>1666</v>
      </c>
    </row>
    <row r="103" spans="2:3" x14ac:dyDescent="0.45">
      <c r="B103" s="109" t="s">
        <v>1150</v>
      </c>
      <c r="C103" s="109" t="s">
        <v>1667</v>
      </c>
    </row>
    <row r="104" spans="2:3" x14ac:dyDescent="0.45">
      <c r="B104" s="109" t="s">
        <v>1151</v>
      </c>
      <c r="C104" s="109" t="s">
        <v>1667</v>
      </c>
    </row>
    <row r="105" spans="2:3" x14ac:dyDescent="0.45">
      <c r="B105" s="109" t="s">
        <v>1152</v>
      </c>
      <c r="C105" s="109" t="s">
        <v>1667</v>
      </c>
    </row>
    <row r="106" spans="2:3" x14ac:dyDescent="0.45">
      <c r="B106" s="109" t="s">
        <v>1153</v>
      </c>
      <c r="C106" s="109" t="s">
        <v>1668</v>
      </c>
    </row>
    <row r="107" spans="2:3" x14ac:dyDescent="0.45">
      <c r="B107" s="109" t="s">
        <v>1154</v>
      </c>
      <c r="C107" s="109" t="s">
        <v>1668</v>
      </c>
    </row>
    <row r="108" spans="2:3" x14ac:dyDescent="0.45">
      <c r="B108" s="109" t="s">
        <v>1155</v>
      </c>
      <c r="C108" s="109" t="s">
        <v>1668</v>
      </c>
    </row>
    <row r="109" spans="2:3" x14ac:dyDescent="0.45">
      <c r="B109" s="109" t="s">
        <v>1426</v>
      </c>
      <c r="C109" s="109" t="s">
        <v>1668</v>
      </c>
    </row>
    <row r="110" spans="2:3" x14ac:dyDescent="0.45">
      <c r="B110" s="109" t="s">
        <v>1425</v>
      </c>
      <c r="C110" s="109" t="s">
        <v>1669</v>
      </c>
    </row>
    <row r="111" spans="2:3" x14ac:dyDescent="0.45">
      <c r="B111" s="109" t="s">
        <v>1395</v>
      </c>
      <c r="C111" s="109" t="s">
        <v>1670</v>
      </c>
    </row>
    <row r="112" spans="2:3" x14ac:dyDescent="0.45">
      <c r="B112" s="109" t="s">
        <v>1396</v>
      </c>
      <c r="C112" s="109" t="s">
        <v>1670</v>
      </c>
    </row>
    <row r="113" spans="2:3" x14ac:dyDescent="0.45">
      <c r="B113" s="109" t="s">
        <v>1156</v>
      </c>
      <c r="C113" s="109" t="s">
        <v>1156</v>
      </c>
    </row>
    <row r="114" spans="2:3" x14ac:dyDescent="0.45">
      <c r="B114" s="109" t="s">
        <v>1157</v>
      </c>
      <c r="C114" s="109" t="s">
        <v>1670</v>
      </c>
    </row>
    <row r="115" spans="2:3" x14ac:dyDescent="0.45">
      <c r="B115" s="109" t="s">
        <v>1532</v>
      </c>
      <c r="C115" s="109" t="s">
        <v>1671</v>
      </c>
    </row>
    <row r="116" spans="2:3" x14ac:dyDescent="0.45">
      <c r="B116" s="109" t="s">
        <v>1158</v>
      </c>
      <c r="C116" s="109" t="s">
        <v>1672</v>
      </c>
    </row>
    <row r="117" spans="2:3" x14ac:dyDescent="0.45">
      <c r="B117" s="109" t="s">
        <v>1558</v>
      </c>
      <c r="C117" s="109" t="s">
        <v>1672</v>
      </c>
    </row>
    <row r="118" spans="2:3" x14ac:dyDescent="0.45">
      <c r="B118" s="109" t="s">
        <v>1159</v>
      </c>
      <c r="C118" s="109" t="s">
        <v>1673</v>
      </c>
    </row>
    <row r="119" spans="2:3" x14ac:dyDescent="0.45">
      <c r="B119" s="109" t="s">
        <v>1384</v>
      </c>
      <c r="C119" s="109" t="s">
        <v>1672</v>
      </c>
    </row>
    <row r="120" spans="2:3" x14ac:dyDescent="0.45">
      <c r="B120" s="109" t="s">
        <v>1385</v>
      </c>
      <c r="C120" s="109" t="s">
        <v>1673</v>
      </c>
    </row>
    <row r="121" spans="2:3" x14ac:dyDescent="0.45">
      <c r="B121" s="109" t="s">
        <v>1333</v>
      </c>
      <c r="C121" s="109" t="s">
        <v>1672</v>
      </c>
    </row>
    <row r="122" spans="2:3" x14ac:dyDescent="0.45">
      <c r="B122" s="109" t="s">
        <v>1537</v>
      </c>
      <c r="C122" s="109" t="s">
        <v>1673</v>
      </c>
    </row>
    <row r="123" spans="2:3" x14ac:dyDescent="0.45">
      <c r="B123" s="109" t="s">
        <v>1160</v>
      </c>
      <c r="C123" s="109" t="s">
        <v>1674</v>
      </c>
    </row>
    <row r="124" spans="2:3" x14ac:dyDescent="0.45">
      <c r="B124" s="109" t="s">
        <v>1161</v>
      </c>
      <c r="C124" s="109" t="s">
        <v>1674</v>
      </c>
    </row>
    <row r="125" spans="2:3" x14ac:dyDescent="0.45">
      <c r="B125" s="109" t="s">
        <v>1162</v>
      </c>
      <c r="C125" s="109" t="s">
        <v>1674</v>
      </c>
    </row>
    <row r="126" spans="2:3" x14ac:dyDescent="0.45">
      <c r="B126" s="109" t="s">
        <v>1163</v>
      </c>
      <c r="C126" s="109" t="s">
        <v>1674</v>
      </c>
    </row>
    <row r="127" spans="2:3" x14ac:dyDescent="0.45">
      <c r="B127" s="109" t="s">
        <v>1164</v>
      </c>
      <c r="C127" s="109" t="s">
        <v>1674</v>
      </c>
    </row>
    <row r="128" spans="2:3" x14ac:dyDescent="0.45">
      <c r="B128" s="109" t="s">
        <v>1165</v>
      </c>
      <c r="C128" s="109" t="s">
        <v>1674</v>
      </c>
    </row>
    <row r="129" spans="2:3" x14ac:dyDescent="0.45">
      <c r="B129" s="109" t="s">
        <v>1166</v>
      </c>
      <c r="C129" s="109" t="s">
        <v>1674</v>
      </c>
    </row>
    <row r="130" spans="2:3" x14ac:dyDescent="0.45">
      <c r="B130" s="109" t="s">
        <v>1167</v>
      </c>
      <c r="C130" s="109" t="s">
        <v>1674</v>
      </c>
    </row>
    <row r="131" spans="2:3" x14ac:dyDescent="0.45">
      <c r="B131" s="109" t="s">
        <v>1168</v>
      </c>
      <c r="C131" s="109" t="s">
        <v>1674</v>
      </c>
    </row>
    <row r="132" spans="2:3" x14ac:dyDescent="0.45">
      <c r="B132" s="109" t="s">
        <v>1169</v>
      </c>
      <c r="C132" s="109" t="s">
        <v>1674</v>
      </c>
    </row>
    <row r="133" spans="2:3" x14ac:dyDescent="0.45">
      <c r="B133" s="109" t="s">
        <v>1170</v>
      </c>
      <c r="C133" s="109" t="s">
        <v>1674</v>
      </c>
    </row>
    <row r="134" spans="2:3" x14ac:dyDescent="0.45">
      <c r="B134" s="109" t="s">
        <v>1325</v>
      </c>
      <c r="C134" s="109" t="s">
        <v>1674</v>
      </c>
    </row>
    <row r="135" spans="2:3" x14ac:dyDescent="0.45">
      <c r="B135" s="109" t="s">
        <v>1171</v>
      </c>
      <c r="C135" s="109" t="s">
        <v>1675</v>
      </c>
    </row>
    <row r="136" spans="2:3" x14ac:dyDescent="0.45">
      <c r="B136" s="109" t="s">
        <v>1172</v>
      </c>
      <c r="C136" s="109" t="s">
        <v>1675</v>
      </c>
    </row>
    <row r="137" spans="2:3" x14ac:dyDescent="0.45">
      <c r="B137" s="109" t="s">
        <v>1173</v>
      </c>
      <c r="C137" s="109" t="s">
        <v>1675</v>
      </c>
    </row>
    <row r="138" spans="2:3" x14ac:dyDescent="0.45">
      <c r="B138" s="109" t="s">
        <v>1174</v>
      </c>
      <c r="C138" s="109" t="s">
        <v>1675</v>
      </c>
    </row>
    <row r="139" spans="2:3" x14ac:dyDescent="0.45">
      <c r="B139" s="109" t="s">
        <v>1175</v>
      </c>
      <c r="C139" s="109" t="s">
        <v>1675</v>
      </c>
    </row>
    <row r="140" spans="2:3" x14ac:dyDescent="0.45">
      <c r="B140" s="109" t="s">
        <v>1176</v>
      </c>
      <c r="C140" s="109" t="s">
        <v>1675</v>
      </c>
    </row>
    <row r="141" spans="2:3" x14ac:dyDescent="0.45">
      <c r="B141" s="109" t="s">
        <v>1177</v>
      </c>
      <c r="C141" s="109" t="s">
        <v>1675</v>
      </c>
    </row>
    <row r="142" spans="2:3" x14ac:dyDescent="0.45">
      <c r="B142" s="109" t="s">
        <v>1178</v>
      </c>
      <c r="C142" s="109" t="s">
        <v>1675</v>
      </c>
    </row>
    <row r="143" spans="2:3" x14ac:dyDescent="0.45">
      <c r="B143" s="109" t="s">
        <v>1179</v>
      </c>
      <c r="C143" s="109" t="s">
        <v>1675</v>
      </c>
    </row>
    <row r="144" spans="2:3" x14ac:dyDescent="0.45">
      <c r="B144" s="109" t="s">
        <v>1180</v>
      </c>
      <c r="C144" s="109" t="s">
        <v>1675</v>
      </c>
    </row>
    <row r="145" spans="2:3" x14ac:dyDescent="0.45">
      <c r="B145" s="109" t="s">
        <v>1181</v>
      </c>
      <c r="C145" s="109" t="s">
        <v>1675</v>
      </c>
    </row>
    <row r="146" spans="2:3" x14ac:dyDescent="0.45">
      <c r="B146" s="109" t="s">
        <v>1181</v>
      </c>
      <c r="C146" s="109" t="s">
        <v>1675</v>
      </c>
    </row>
    <row r="147" spans="2:3" x14ac:dyDescent="0.45">
      <c r="B147" s="109" t="s">
        <v>1181</v>
      </c>
      <c r="C147" s="109" t="s">
        <v>1675</v>
      </c>
    </row>
    <row r="148" spans="2:3" x14ac:dyDescent="0.45">
      <c r="B148" s="109" t="s">
        <v>1182</v>
      </c>
      <c r="C148" s="109" t="s">
        <v>1675</v>
      </c>
    </row>
    <row r="149" spans="2:3" x14ac:dyDescent="0.45">
      <c r="B149" s="109" t="s">
        <v>1183</v>
      </c>
      <c r="C149" s="109" t="s">
        <v>1675</v>
      </c>
    </row>
    <row r="150" spans="2:3" x14ac:dyDescent="0.45">
      <c r="B150" s="109" t="s">
        <v>1184</v>
      </c>
      <c r="C150" s="109" t="s">
        <v>1675</v>
      </c>
    </row>
    <row r="151" spans="2:3" x14ac:dyDescent="0.45">
      <c r="B151" s="109" t="s">
        <v>1559</v>
      </c>
      <c r="C151" s="109" t="s">
        <v>1675</v>
      </c>
    </row>
    <row r="152" spans="2:3" x14ac:dyDescent="0.45">
      <c r="B152" s="109" t="s">
        <v>1185</v>
      </c>
      <c r="C152" s="109" t="s">
        <v>1675</v>
      </c>
    </row>
    <row r="153" spans="2:3" x14ac:dyDescent="0.45">
      <c r="B153" s="109" t="s">
        <v>1186</v>
      </c>
      <c r="C153" s="109" t="s">
        <v>1675</v>
      </c>
    </row>
    <row r="154" spans="2:3" x14ac:dyDescent="0.45">
      <c r="B154" s="109" t="s">
        <v>1187</v>
      </c>
      <c r="C154" s="109" t="s">
        <v>1675</v>
      </c>
    </row>
    <row r="155" spans="2:3" x14ac:dyDescent="0.45">
      <c r="B155" s="109" t="s">
        <v>1332</v>
      </c>
      <c r="C155" s="109" t="s">
        <v>1675</v>
      </c>
    </row>
    <row r="156" spans="2:3" x14ac:dyDescent="0.45">
      <c r="B156" s="109" t="s">
        <v>1188</v>
      </c>
      <c r="C156" s="109" t="s">
        <v>1676</v>
      </c>
    </row>
    <row r="157" spans="2:3" x14ac:dyDescent="0.45">
      <c r="B157" s="109" t="s">
        <v>1189</v>
      </c>
      <c r="C157" s="109" t="s">
        <v>1676</v>
      </c>
    </row>
    <row r="158" spans="2:3" x14ac:dyDescent="0.45">
      <c r="B158" s="109" t="s">
        <v>1190</v>
      </c>
      <c r="C158" s="109" t="s">
        <v>1676</v>
      </c>
    </row>
    <row r="159" spans="2:3" x14ac:dyDescent="0.45">
      <c r="B159" s="109" t="s">
        <v>1191</v>
      </c>
      <c r="C159" s="109" t="s">
        <v>1676</v>
      </c>
    </row>
    <row r="160" spans="2:3" x14ac:dyDescent="0.45">
      <c r="B160" s="109" t="s">
        <v>1192</v>
      </c>
      <c r="C160" s="109" t="s">
        <v>1676</v>
      </c>
    </row>
    <row r="161" spans="2:3" x14ac:dyDescent="0.45">
      <c r="B161" s="109" t="s">
        <v>1193</v>
      </c>
      <c r="C161" s="109" t="s">
        <v>1676</v>
      </c>
    </row>
    <row r="162" spans="2:3" x14ac:dyDescent="0.45">
      <c r="B162" s="109" t="s">
        <v>1194</v>
      </c>
      <c r="C162" s="109" t="s">
        <v>1676</v>
      </c>
    </row>
    <row r="163" spans="2:3" x14ac:dyDescent="0.45">
      <c r="B163" s="109" t="s">
        <v>1195</v>
      </c>
      <c r="C163" s="109" t="s">
        <v>1676</v>
      </c>
    </row>
    <row r="164" spans="2:3" x14ac:dyDescent="0.45">
      <c r="B164" s="109" t="s">
        <v>1196</v>
      </c>
      <c r="C164" s="109" t="s">
        <v>1676</v>
      </c>
    </row>
    <row r="165" spans="2:3" x14ac:dyDescent="0.45">
      <c r="B165" s="109" t="s">
        <v>1197</v>
      </c>
      <c r="C165" s="109" t="s">
        <v>1676</v>
      </c>
    </row>
    <row r="166" spans="2:3" x14ac:dyDescent="0.45">
      <c r="B166" s="109" t="s">
        <v>1198</v>
      </c>
      <c r="C166" s="109" t="s">
        <v>1676</v>
      </c>
    </row>
    <row r="167" spans="2:3" x14ac:dyDescent="0.45">
      <c r="B167" s="109" t="s">
        <v>1199</v>
      </c>
      <c r="C167" s="109" t="s">
        <v>1676</v>
      </c>
    </row>
    <row r="168" spans="2:3" x14ac:dyDescent="0.45">
      <c r="B168" s="109" t="s">
        <v>1200</v>
      </c>
      <c r="C168" s="109" t="s">
        <v>1676</v>
      </c>
    </row>
    <row r="169" spans="2:3" x14ac:dyDescent="0.45">
      <c r="B169" s="109" t="s">
        <v>1201</v>
      </c>
      <c r="C169" s="109" t="s">
        <v>1676</v>
      </c>
    </row>
    <row r="170" spans="2:3" x14ac:dyDescent="0.45">
      <c r="B170" s="109" t="s">
        <v>1202</v>
      </c>
      <c r="C170" s="109" t="s">
        <v>1676</v>
      </c>
    </row>
    <row r="171" spans="2:3" x14ac:dyDescent="0.45">
      <c r="B171" s="109" t="s">
        <v>1203</v>
      </c>
      <c r="C171" s="109" t="s">
        <v>1676</v>
      </c>
    </row>
    <row r="172" spans="2:3" x14ac:dyDescent="0.45">
      <c r="B172" s="109" t="s">
        <v>1204</v>
      </c>
      <c r="C172" s="109" t="s">
        <v>1676</v>
      </c>
    </row>
    <row r="173" spans="2:3" x14ac:dyDescent="0.45">
      <c r="B173" s="109" t="s">
        <v>1205</v>
      </c>
      <c r="C173" s="109" t="s">
        <v>1676</v>
      </c>
    </row>
    <row r="174" spans="2:3" x14ac:dyDescent="0.45">
      <c r="B174" s="109" t="s">
        <v>1206</v>
      </c>
      <c r="C174" s="109" t="s">
        <v>1676</v>
      </c>
    </row>
    <row r="175" spans="2:3" x14ac:dyDescent="0.45">
      <c r="B175" s="109" t="s">
        <v>1207</v>
      </c>
      <c r="C175" s="109" t="s">
        <v>1676</v>
      </c>
    </row>
    <row r="176" spans="2:3" x14ac:dyDescent="0.45">
      <c r="B176" s="109" t="s">
        <v>1208</v>
      </c>
      <c r="C176" s="109" t="s">
        <v>1676</v>
      </c>
    </row>
    <row r="177" spans="2:3" x14ac:dyDescent="0.45">
      <c r="B177" s="109" t="s">
        <v>1209</v>
      </c>
      <c r="C177" s="109" t="s">
        <v>1676</v>
      </c>
    </row>
    <row r="178" spans="2:3" x14ac:dyDescent="0.45">
      <c r="B178" s="109" t="s">
        <v>1210</v>
      </c>
      <c r="C178" s="109" t="s">
        <v>1676</v>
      </c>
    </row>
    <row r="179" spans="2:3" x14ac:dyDescent="0.45">
      <c r="B179" s="109" t="s">
        <v>1211</v>
      </c>
      <c r="C179" s="109" t="s">
        <v>1676</v>
      </c>
    </row>
    <row r="180" spans="2:3" x14ac:dyDescent="0.45">
      <c r="B180" s="109" t="s">
        <v>1212</v>
      </c>
      <c r="C180" s="109" t="s">
        <v>1676</v>
      </c>
    </row>
    <row r="181" spans="2:3" x14ac:dyDescent="0.45">
      <c r="B181" s="109" t="s">
        <v>1213</v>
      </c>
      <c r="C181" s="109" t="s">
        <v>1676</v>
      </c>
    </row>
    <row r="182" spans="2:3" x14ac:dyDescent="0.45">
      <c r="B182" s="109" t="s">
        <v>1214</v>
      </c>
      <c r="C182" s="109" t="s">
        <v>1676</v>
      </c>
    </row>
    <row r="183" spans="2:3" x14ac:dyDescent="0.45">
      <c r="B183" s="109" t="s">
        <v>1215</v>
      </c>
      <c r="C183" s="109" t="s">
        <v>1676</v>
      </c>
    </row>
    <row r="184" spans="2:3" x14ac:dyDescent="0.45">
      <c r="B184" s="109" t="s">
        <v>1216</v>
      </c>
      <c r="C184" s="109" t="s">
        <v>1676</v>
      </c>
    </row>
    <row r="185" spans="2:3" x14ac:dyDescent="0.45">
      <c r="B185" s="109" t="s">
        <v>1217</v>
      </c>
      <c r="C185" s="109" t="s">
        <v>1676</v>
      </c>
    </row>
    <row r="186" spans="2:3" x14ac:dyDescent="0.45">
      <c r="B186" s="109" t="s">
        <v>1218</v>
      </c>
      <c r="C186" s="109" t="s">
        <v>1676</v>
      </c>
    </row>
    <row r="187" spans="2:3" x14ac:dyDescent="0.45">
      <c r="B187" s="109" t="s">
        <v>1219</v>
      </c>
      <c r="C187" s="109" t="s">
        <v>1676</v>
      </c>
    </row>
    <row r="188" spans="2:3" x14ac:dyDescent="0.45">
      <c r="B188" s="109" t="s">
        <v>1220</v>
      </c>
      <c r="C188" s="109" t="s">
        <v>1676</v>
      </c>
    </row>
    <row r="189" spans="2:3" x14ac:dyDescent="0.45">
      <c r="B189" s="109" t="s">
        <v>1221</v>
      </c>
      <c r="C189" s="109" t="s">
        <v>1676</v>
      </c>
    </row>
    <row r="190" spans="2:3" x14ac:dyDescent="0.45">
      <c r="B190" s="109" t="s">
        <v>1222</v>
      </c>
      <c r="C190" s="109" t="s">
        <v>1676</v>
      </c>
    </row>
    <row r="191" spans="2:3" x14ac:dyDescent="0.45">
      <c r="B191" s="109" t="s">
        <v>1223</v>
      </c>
      <c r="C191" s="109" t="s">
        <v>1676</v>
      </c>
    </row>
    <row r="192" spans="2:3" x14ac:dyDescent="0.45">
      <c r="B192" s="109" t="s">
        <v>1224</v>
      </c>
      <c r="C192" s="109" t="s">
        <v>1676</v>
      </c>
    </row>
    <row r="193" spans="2:3" x14ac:dyDescent="0.45">
      <c r="B193" s="109" t="s">
        <v>1225</v>
      </c>
      <c r="C193" s="109" t="s">
        <v>1676</v>
      </c>
    </row>
    <row r="194" spans="2:3" x14ac:dyDescent="0.45">
      <c r="B194" s="109" t="s">
        <v>1226</v>
      </c>
      <c r="C194" s="109" t="s">
        <v>1676</v>
      </c>
    </row>
    <row r="195" spans="2:3" x14ac:dyDescent="0.45">
      <c r="B195" s="109" t="s">
        <v>1227</v>
      </c>
      <c r="C195" s="109" t="s">
        <v>1676</v>
      </c>
    </row>
    <row r="196" spans="2:3" x14ac:dyDescent="0.45">
      <c r="B196" s="109" t="s">
        <v>1228</v>
      </c>
      <c r="C196" s="109" t="s">
        <v>1676</v>
      </c>
    </row>
    <row r="197" spans="2:3" x14ac:dyDescent="0.45">
      <c r="B197" s="109" t="s">
        <v>1229</v>
      </c>
      <c r="C197" s="109" t="s">
        <v>1676</v>
      </c>
    </row>
    <row r="198" spans="2:3" x14ac:dyDescent="0.45">
      <c r="B198" s="109" t="s">
        <v>1230</v>
      </c>
      <c r="C198" s="109" t="s">
        <v>1676</v>
      </c>
    </row>
    <row r="199" spans="2:3" x14ac:dyDescent="0.45">
      <c r="B199" s="109" t="s">
        <v>1340</v>
      </c>
      <c r="C199" s="109" t="s">
        <v>1676</v>
      </c>
    </row>
    <row r="200" spans="2:3" x14ac:dyDescent="0.45">
      <c r="B200" s="109" t="s">
        <v>1341</v>
      </c>
      <c r="C200" s="109" t="s">
        <v>1676</v>
      </c>
    </row>
    <row r="201" spans="2:3" x14ac:dyDescent="0.45">
      <c r="B201" s="109" t="s">
        <v>1342</v>
      </c>
      <c r="C201" s="109" t="s">
        <v>1676</v>
      </c>
    </row>
    <row r="202" spans="2:3" x14ac:dyDescent="0.45">
      <c r="B202" s="109" t="s">
        <v>1367</v>
      </c>
      <c r="C202" s="109" t="s">
        <v>1676</v>
      </c>
    </row>
    <row r="203" spans="2:3" x14ac:dyDescent="0.45">
      <c r="B203" s="109" t="s">
        <v>1368</v>
      </c>
      <c r="C203" s="109" t="s">
        <v>1676</v>
      </c>
    </row>
    <row r="204" spans="2:3" x14ac:dyDescent="0.45">
      <c r="B204" s="109" t="s">
        <v>1369</v>
      </c>
      <c r="C204" s="109" t="s">
        <v>1676</v>
      </c>
    </row>
    <row r="205" spans="2:3" x14ac:dyDescent="0.45">
      <c r="B205" s="109" t="s">
        <v>1370</v>
      </c>
      <c r="C205" s="109" t="s">
        <v>1676</v>
      </c>
    </row>
    <row r="206" spans="2:3" x14ac:dyDescent="0.45">
      <c r="B206" s="109" t="s">
        <v>1371</v>
      </c>
      <c r="C206" s="109" t="s">
        <v>1676</v>
      </c>
    </row>
    <row r="207" spans="2:3" x14ac:dyDescent="0.45">
      <c r="B207" s="109" t="s">
        <v>1352</v>
      </c>
      <c r="C207" s="109" t="s">
        <v>1676</v>
      </c>
    </row>
    <row r="208" spans="2:3" x14ac:dyDescent="0.45">
      <c r="B208" s="109" t="s">
        <v>1377</v>
      </c>
      <c r="C208" s="109" t="s">
        <v>1676</v>
      </c>
    </row>
    <row r="209" spans="2:3" x14ac:dyDescent="0.45">
      <c r="B209" s="109" t="s">
        <v>1231</v>
      </c>
      <c r="C209" s="109" t="s">
        <v>1677</v>
      </c>
    </row>
    <row r="210" spans="2:3" x14ac:dyDescent="0.45">
      <c r="B210" s="109" t="s">
        <v>1232</v>
      </c>
      <c r="C210" s="109" t="s">
        <v>1677</v>
      </c>
    </row>
    <row r="211" spans="2:3" x14ac:dyDescent="0.45">
      <c r="B211" s="109" t="s">
        <v>1233</v>
      </c>
      <c r="C211" s="109" t="s">
        <v>1677</v>
      </c>
    </row>
    <row r="212" spans="2:3" x14ac:dyDescent="0.45">
      <c r="B212" s="109" t="s">
        <v>1234</v>
      </c>
      <c r="C212" s="109" t="s">
        <v>1677</v>
      </c>
    </row>
    <row r="213" spans="2:3" x14ac:dyDescent="0.45">
      <c r="B213" s="109" t="s">
        <v>1235</v>
      </c>
      <c r="C213" s="109" t="s">
        <v>1677</v>
      </c>
    </row>
    <row r="214" spans="2:3" x14ac:dyDescent="0.45">
      <c r="B214" s="109" t="s">
        <v>1236</v>
      </c>
      <c r="C214" s="109" t="s">
        <v>1677</v>
      </c>
    </row>
    <row r="215" spans="2:3" x14ac:dyDescent="0.45">
      <c r="B215" s="109" t="s">
        <v>1237</v>
      </c>
      <c r="C215" s="109" t="s">
        <v>1677</v>
      </c>
    </row>
    <row r="216" spans="2:3" x14ac:dyDescent="0.45">
      <c r="B216" s="109" t="s">
        <v>1238</v>
      </c>
      <c r="C216" s="109" t="s">
        <v>1677</v>
      </c>
    </row>
    <row r="217" spans="2:3" x14ac:dyDescent="0.45">
      <c r="B217" s="109" t="s">
        <v>1239</v>
      </c>
      <c r="C217" s="109" t="s">
        <v>1677</v>
      </c>
    </row>
    <row r="218" spans="2:3" x14ac:dyDescent="0.45">
      <c r="B218" s="109" t="s">
        <v>1240</v>
      </c>
      <c r="C218" s="109" t="s">
        <v>1677</v>
      </c>
    </row>
    <row r="219" spans="2:3" x14ac:dyDescent="0.45">
      <c r="B219" s="109" t="s">
        <v>1335</v>
      </c>
      <c r="C219" s="109" t="s">
        <v>1677</v>
      </c>
    </row>
    <row r="220" spans="2:3" x14ac:dyDescent="0.45">
      <c r="B220" s="109" t="s">
        <v>1358</v>
      </c>
      <c r="C220" s="109" t="s">
        <v>1677</v>
      </c>
    </row>
    <row r="221" spans="2:3" x14ac:dyDescent="0.45">
      <c r="B221" s="109" t="s">
        <v>1359</v>
      </c>
      <c r="C221" s="109" t="s">
        <v>1677</v>
      </c>
    </row>
    <row r="222" spans="2:3" x14ac:dyDescent="0.45">
      <c r="B222" s="109" t="s">
        <v>1360</v>
      </c>
      <c r="C222" s="109" t="s">
        <v>1677</v>
      </c>
    </row>
    <row r="223" spans="2:3" x14ac:dyDescent="0.45">
      <c r="B223" s="109" t="s">
        <v>1241</v>
      </c>
      <c r="C223" s="109" t="s">
        <v>1678</v>
      </c>
    </row>
    <row r="224" spans="2:3" x14ac:dyDescent="0.45">
      <c r="B224" s="109" t="s">
        <v>1242</v>
      </c>
      <c r="C224" s="109" t="s">
        <v>1678</v>
      </c>
    </row>
    <row r="225" spans="2:3" x14ac:dyDescent="0.45">
      <c r="B225" s="109" t="s">
        <v>1243</v>
      </c>
      <c r="C225" s="109" t="s">
        <v>1678</v>
      </c>
    </row>
    <row r="226" spans="2:3" x14ac:dyDescent="0.45">
      <c r="B226" s="109" t="s">
        <v>1244</v>
      </c>
      <c r="C226" s="109" t="s">
        <v>1678</v>
      </c>
    </row>
    <row r="227" spans="2:3" x14ac:dyDescent="0.45">
      <c r="B227" s="109" t="s">
        <v>1245</v>
      </c>
      <c r="C227" s="109" t="s">
        <v>1678</v>
      </c>
    </row>
    <row r="228" spans="2:3" x14ac:dyDescent="0.45">
      <c r="B228" s="109" t="s">
        <v>1246</v>
      </c>
      <c r="C228" s="109" t="s">
        <v>1678</v>
      </c>
    </row>
    <row r="229" spans="2:3" x14ac:dyDescent="0.45">
      <c r="B229" s="109" t="s">
        <v>1247</v>
      </c>
      <c r="C229" s="109" t="s">
        <v>1678</v>
      </c>
    </row>
    <row r="230" spans="2:3" x14ac:dyDescent="0.45">
      <c r="B230" s="109" t="s">
        <v>1248</v>
      </c>
      <c r="C230" s="109" t="s">
        <v>1678</v>
      </c>
    </row>
    <row r="231" spans="2:3" x14ac:dyDescent="0.45">
      <c r="B231" s="109" t="s">
        <v>1249</v>
      </c>
      <c r="C231" s="109" t="s">
        <v>1678</v>
      </c>
    </row>
    <row r="232" spans="2:3" x14ac:dyDescent="0.45">
      <c r="B232" s="109" t="s">
        <v>1366</v>
      </c>
      <c r="C232" s="109" t="s">
        <v>1678</v>
      </c>
    </row>
    <row r="233" spans="2:3" x14ac:dyDescent="0.45">
      <c r="B233" s="109" t="s">
        <v>1376</v>
      </c>
      <c r="C233" s="109" t="s">
        <v>1678</v>
      </c>
    </row>
    <row r="234" spans="2:3" x14ac:dyDescent="0.45">
      <c r="B234" s="109" t="s">
        <v>1339</v>
      </c>
      <c r="C234" s="109" t="s">
        <v>1678</v>
      </c>
    </row>
    <row r="235" spans="2:3" x14ac:dyDescent="0.45">
      <c r="B235" s="109" t="s">
        <v>1250</v>
      </c>
      <c r="C235" s="109" t="s">
        <v>1679</v>
      </c>
    </row>
    <row r="236" spans="2:3" x14ac:dyDescent="0.45">
      <c r="B236" s="109" t="s">
        <v>1251</v>
      </c>
      <c r="C236" s="109" t="s">
        <v>1679</v>
      </c>
    </row>
    <row r="237" spans="2:3" x14ac:dyDescent="0.45">
      <c r="B237" s="109" t="s">
        <v>1252</v>
      </c>
      <c r="C237" s="109" t="s">
        <v>1679</v>
      </c>
    </row>
    <row r="238" spans="2:3" x14ac:dyDescent="0.45">
      <c r="B238" s="109" t="s">
        <v>1253</v>
      </c>
      <c r="C238" s="109" t="s">
        <v>1679</v>
      </c>
    </row>
    <row r="239" spans="2:3" x14ac:dyDescent="0.45">
      <c r="B239" s="109" t="s">
        <v>1254</v>
      </c>
      <c r="C239" s="109" t="s">
        <v>1679</v>
      </c>
    </row>
    <row r="240" spans="2:3" x14ac:dyDescent="0.45">
      <c r="B240" s="109" t="s">
        <v>1255</v>
      </c>
      <c r="C240" s="109" t="s">
        <v>1679</v>
      </c>
    </row>
    <row r="241" spans="2:3" x14ac:dyDescent="0.45">
      <c r="B241" s="109" t="s">
        <v>1256</v>
      </c>
      <c r="C241" s="109" t="s">
        <v>1679</v>
      </c>
    </row>
    <row r="242" spans="2:3" x14ac:dyDescent="0.45">
      <c r="B242" s="109" t="s">
        <v>1257</v>
      </c>
      <c r="C242" s="109" t="s">
        <v>1679</v>
      </c>
    </row>
    <row r="243" spans="2:3" x14ac:dyDescent="0.45">
      <c r="B243" s="109" t="s">
        <v>1365</v>
      </c>
      <c r="C243" s="109" t="s">
        <v>1679</v>
      </c>
    </row>
    <row r="244" spans="2:3" x14ac:dyDescent="0.45">
      <c r="B244" s="109" t="s">
        <v>1355</v>
      </c>
      <c r="C244" s="109" t="s">
        <v>1679</v>
      </c>
    </row>
    <row r="245" spans="2:3" x14ac:dyDescent="0.45">
      <c r="B245" s="109" t="s">
        <v>1356</v>
      </c>
      <c r="C245" s="109" t="s">
        <v>1679</v>
      </c>
    </row>
    <row r="246" spans="2:3" x14ac:dyDescent="0.45">
      <c r="B246" s="109" t="s">
        <v>1383</v>
      </c>
      <c r="C246" s="109" t="s">
        <v>1679</v>
      </c>
    </row>
    <row r="247" spans="2:3" x14ac:dyDescent="0.45">
      <c r="B247" s="109" t="s">
        <v>1258</v>
      </c>
      <c r="C247" s="109" t="s">
        <v>1679</v>
      </c>
    </row>
    <row r="248" spans="2:3" x14ac:dyDescent="0.45">
      <c r="B248" s="109" t="s">
        <v>1259</v>
      </c>
      <c r="C248" s="109" t="s">
        <v>1679</v>
      </c>
    </row>
    <row r="249" spans="2:3" x14ac:dyDescent="0.45">
      <c r="B249" s="109" t="s">
        <v>1260</v>
      </c>
      <c r="C249" s="109" t="s">
        <v>1679</v>
      </c>
    </row>
    <row r="250" spans="2:3" x14ac:dyDescent="0.45">
      <c r="B250" s="109" t="s">
        <v>1261</v>
      </c>
      <c r="C250" s="109" t="s">
        <v>1679</v>
      </c>
    </row>
    <row r="251" spans="2:3" x14ac:dyDescent="0.45">
      <c r="B251" s="109" t="s">
        <v>1262</v>
      </c>
      <c r="C251" s="109" t="s">
        <v>1679</v>
      </c>
    </row>
    <row r="252" spans="2:3" x14ac:dyDescent="0.45">
      <c r="B252" s="109" t="s">
        <v>1263</v>
      </c>
      <c r="C252" s="109" t="s">
        <v>1679</v>
      </c>
    </row>
    <row r="253" spans="2:3" x14ac:dyDescent="0.45">
      <c r="B253" s="109" t="s">
        <v>1264</v>
      </c>
      <c r="C253" s="109" t="s">
        <v>1679</v>
      </c>
    </row>
    <row r="254" spans="2:3" x14ac:dyDescent="0.45">
      <c r="B254" s="109" t="s">
        <v>1265</v>
      </c>
      <c r="C254" s="109" t="s">
        <v>1679</v>
      </c>
    </row>
    <row r="255" spans="2:3" x14ac:dyDescent="0.45">
      <c r="B255" s="109" t="s">
        <v>1266</v>
      </c>
      <c r="C255" s="109" t="s">
        <v>1679</v>
      </c>
    </row>
    <row r="256" spans="2:3" x14ac:dyDescent="0.45">
      <c r="B256" s="109" t="s">
        <v>1267</v>
      </c>
      <c r="C256" s="109" t="s">
        <v>1679</v>
      </c>
    </row>
    <row r="257" spans="2:3" x14ac:dyDescent="0.45">
      <c r="B257" s="109" t="s">
        <v>1268</v>
      </c>
      <c r="C257" s="109" t="s">
        <v>1679</v>
      </c>
    </row>
    <row r="258" spans="2:3" x14ac:dyDescent="0.45">
      <c r="B258" s="109" t="s">
        <v>1269</v>
      </c>
      <c r="C258" s="109" t="s">
        <v>1679</v>
      </c>
    </row>
    <row r="259" spans="2:3" x14ac:dyDescent="0.45">
      <c r="B259" s="109" t="s">
        <v>1270</v>
      </c>
      <c r="C259" s="109" t="s">
        <v>1679</v>
      </c>
    </row>
    <row r="260" spans="2:3" x14ac:dyDescent="0.45">
      <c r="B260" s="109" t="s">
        <v>1271</v>
      </c>
      <c r="C260" s="109" t="s">
        <v>1679</v>
      </c>
    </row>
    <row r="261" spans="2:3" x14ac:dyDescent="0.45">
      <c r="B261" s="109" t="s">
        <v>1272</v>
      </c>
      <c r="C261" s="109" t="s">
        <v>1679</v>
      </c>
    </row>
    <row r="262" spans="2:3" x14ac:dyDescent="0.45">
      <c r="B262" s="109" t="s">
        <v>1273</v>
      </c>
      <c r="C262" s="109" t="s">
        <v>1679</v>
      </c>
    </row>
    <row r="263" spans="2:3" x14ac:dyDescent="0.45">
      <c r="B263" s="109" t="s">
        <v>1274</v>
      </c>
      <c r="C263" s="109" t="s">
        <v>1679</v>
      </c>
    </row>
    <row r="264" spans="2:3" x14ac:dyDescent="0.45">
      <c r="B264" s="109" t="s">
        <v>1275</v>
      </c>
      <c r="C264" s="109" t="s">
        <v>1679</v>
      </c>
    </row>
    <row r="265" spans="2:3" x14ac:dyDescent="0.45">
      <c r="B265" s="109" t="s">
        <v>1276</v>
      </c>
      <c r="C265" s="109" t="s">
        <v>1679</v>
      </c>
    </row>
    <row r="266" spans="2:3" x14ac:dyDescent="0.45">
      <c r="B266" s="109" t="s">
        <v>1277</v>
      </c>
      <c r="C266" s="109" t="s">
        <v>1679</v>
      </c>
    </row>
    <row r="267" spans="2:3" x14ac:dyDescent="0.45">
      <c r="B267" s="109" t="s">
        <v>1278</v>
      </c>
      <c r="C267" s="109" t="s">
        <v>1679</v>
      </c>
    </row>
    <row r="268" spans="2:3" x14ac:dyDescent="0.45">
      <c r="B268" s="109" t="s">
        <v>1279</v>
      </c>
      <c r="C268" s="109" t="s">
        <v>1679</v>
      </c>
    </row>
    <row r="269" spans="2:3" x14ac:dyDescent="0.45">
      <c r="B269" s="109" t="s">
        <v>1280</v>
      </c>
      <c r="C269" s="109" t="s">
        <v>1679</v>
      </c>
    </row>
    <row r="270" spans="2:3" x14ac:dyDescent="0.45">
      <c r="B270" s="109" t="s">
        <v>1281</v>
      </c>
      <c r="C270" s="109" t="s">
        <v>1679</v>
      </c>
    </row>
    <row r="271" spans="2:3" x14ac:dyDescent="0.45">
      <c r="B271" s="109" t="s">
        <v>1282</v>
      </c>
      <c r="C271" s="109" t="s">
        <v>1679</v>
      </c>
    </row>
    <row r="272" spans="2:3" x14ac:dyDescent="0.45">
      <c r="B272" s="109" t="s">
        <v>1283</v>
      </c>
      <c r="C272" s="109" t="s">
        <v>1679</v>
      </c>
    </row>
    <row r="273" spans="2:3" x14ac:dyDescent="0.45">
      <c r="B273" s="109" t="s">
        <v>1284</v>
      </c>
      <c r="C273" s="109" t="s">
        <v>1679</v>
      </c>
    </row>
    <row r="274" spans="2:3" x14ac:dyDescent="0.45">
      <c r="B274" s="109" t="s">
        <v>1285</v>
      </c>
      <c r="C274" s="109" t="s">
        <v>1679</v>
      </c>
    </row>
    <row r="275" spans="2:3" x14ac:dyDescent="0.45">
      <c r="B275" s="109" t="s">
        <v>1286</v>
      </c>
      <c r="C275" s="109" t="s">
        <v>1679</v>
      </c>
    </row>
    <row r="276" spans="2:3" x14ac:dyDescent="0.45">
      <c r="B276" s="109" t="s">
        <v>1287</v>
      </c>
      <c r="C276" s="109" t="s">
        <v>1679</v>
      </c>
    </row>
    <row r="277" spans="2:3" x14ac:dyDescent="0.45">
      <c r="B277" s="109" t="s">
        <v>1288</v>
      </c>
      <c r="C277" s="109" t="s">
        <v>1679</v>
      </c>
    </row>
    <row r="278" spans="2:3" x14ac:dyDescent="0.45">
      <c r="B278" s="109" t="s">
        <v>1289</v>
      </c>
      <c r="C278" s="109" t="s">
        <v>1679</v>
      </c>
    </row>
    <row r="279" spans="2:3" x14ac:dyDescent="0.45">
      <c r="B279" s="109" t="s">
        <v>1290</v>
      </c>
      <c r="C279" s="109" t="s">
        <v>1679</v>
      </c>
    </row>
    <row r="280" spans="2:3" x14ac:dyDescent="0.45">
      <c r="B280" s="109" t="s">
        <v>1291</v>
      </c>
      <c r="C280" s="109" t="s">
        <v>1679</v>
      </c>
    </row>
    <row r="281" spans="2:3" x14ac:dyDescent="0.45">
      <c r="B281" s="109" t="s">
        <v>1292</v>
      </c>
      <c r="C281" s="109" t="s">
        <v>1679</v>
      </c>
    </row>
    <row r="282" spans="2:3" x14ac:dyDescent="0.45">
      <c r="B282" s="109" t="s">
        <v>1293</v>
      </c>
      <c r="C282" s="109" t="s">
        <v>1679</v>
      </c>
    </row>
    <row r="283" spans="2:3" x14ac:dyDescent="0.45">
      <c r="B283" s="109" t="s">
        <v>1294</v>
      </c>
      <c r="C283" s="109" t="s">
        <v>1679</v>
      </c>
    </row>
    <row r="284" spans="2:3" x14ac:dyDescent="0.45">
      <c r="B284" s="109" t="s">
        <v>1295</v>
      </c>
      <c r="C284" s="109" t="s">
        <v>1679</v>
      </c>
    </row>
    <row r="285" spans="2:3" x14ac:dyDescent="0.45">
      <c r="B285" s="109" t="s">
        <v>1296</v>
      </c>
      <c r="C285" s="109" t="s">
        <v>1679</v>
      </c>
    </row>
    <row r="286" spans="2:3" x14ac:dyDescent="0.45">
      <c r="B286" s="109" t="s">
        <v>1297</v>
      </c>
      <c r="C286" s="109" t="s">
        <v>1679</v>
      </c>
    </row>
    <row r="287" spans="2:3" x14ac:dyDescent="0.45">
      <c r="B287" s="109" t="s">
        <v>1298</v>
      </c>
      <c r="C287" s="109" t="s">
        <v>1679</v>
      </c>
    </row>
    <row r="288" spans="2:3" x14ac:dyDescent="0.45">
      <c r="B288" s="109" t="s">
        <v>1299</v>
      </c>
      <c r="C288" s="109" t="s">
        <v>1679</v>
      </c>
    </row>
    <row r="289" spans="2:3" x14ac:dyDescent="0.45">
      <c r="B289" s="109" t="s">
        <v>1300</v>
      </c>
      <c r="C289" s="109" t="s">
        <v>1679</v>
      </c>
    </row>
    <row r="290" spans="2:3" x14ac:dyDescent="0.45">
      <c r="B290" s="109" t="s">
        <v>1301</v>
      </c>
      <c r="C290" s="109" t="s">
        <v>1679</v>
      </c>
    </row>
    <row r="291" spans="2:3" x14ac:dyDescent="0.45">
      <c r="B291" s="109" t="s">
        <v>1302</v>
      </c>
      <c r="C291" s="109" t="s">
        <v>1679</v>
      </c>
    </row>
    <row r="292" spans="2:3" x14ac:dyDescent="0.45">
      <c r="B292" s="109" t="s">
        <v>1303</v>
      </c>
      <c r="C292" s="109" t="s">
        <v>1679</v>
      </c>
    </row>
    <row r="293" spans="2:3" x14ac:dyDescent="0.45">
      <c r="B293" s="109" t="s">
        <v>1304</v>
      </c>
      <c r="C293" s="109" t="s">
        <v>1679</v>
      </c>
    </row>
    <row r="294" spans="2:3" x14ac:dyDescent="0.45">
      <c r="B294" s="109" t="s">
        <v>1334</v>
      </c>
      <c r="C294" s="109" t="s">
        <v>1679</v>
      </c>
    </row>
    <row r="295" spans="2:3" x14ac:dyDescent="0.45">
      <c r="B295" s="109" t="s">
        <v>1336</v>
      </c>
      <c r="C295" s="109" t="s">
        <v>1679</v>
      </c>
    </row>
    <row r="296" spans="2:3" x14ac:dyDescent="0.45">
      <c r="B296" s="109" t="s">
        <v>1337</v>
      </c>
      <c r="C296" s="109" t="s">
        <v>1679</v>
      </c>
    </row>
    <row r="297" spans="2:3" x14ac:dyDescent="0.45">
      <c r="B297" s="109" t="s">
        <v>1338</v>
      </c>
      <c r="C297" s="109" t="s">
        <v>1679</v>
      </c>
    </row>
    <row r="298" spans="2:3" x14ac:dyDescent="0.45">
      <c r="B298" s="109" t="s">
        <v>1344</v>
      </c>
      <c r="C298" s="109" t="s">
        <v>1679</v>
      </c>
    </row>
    <row r="299" spans="2:3" x14ac:dyDescent="0.45">
      <c r="B299" s="109" t="s">
        <v>1345</v>
      </c>
      <c r="C299" s="109" t="s">
        <v>1679</v>
      </c>
    </row>
    <row r="300" spans="2:3" x14ac:dyDescent="0.45">
      <c r="B300" s="109" t="s">
        <v>1346</v>
      </c>
      <c r="C300" s="109" t="s">
        <v>1679</v>
      </c>
    </row>
    <row r="301" spans="2:3" x14ac:dyDescent="0.45">
      <c r="B301" s="109" t="s">
        <v>1348</v>
      </c>
      <c r="C301" s="109" t="s">
        <v>1679</v>
      </c>
    </row>
    <row r="302" spans="2:3" x14ac:dyDescent="0.45">
      <c r="B302" s="109" t="s">
        <v>1349</v>
      </c>
      <c r="C302" s="109" t="s">
        <v>1679</v>
      </c>
    </row>
    <row r="303" spans="2:3" x14ac:dyDescent="0.45">
      <c r="B303" s="109" t="s">
        <v>1350</v>
      </c>
      <c r="C303" s="109" t="s">
        <v>1679</v>
      </c>
    </row>
    <row r="304" spans="2:3" x14ac:dyDescent="0.45">
      <c r="B304" s="109" t="s">
        <v>1351</v>
      </c>
      <c r="C304" s="109" t="s">
        <v>1679</v>
      </c>
    </row>
    <row r="305" spans="2:3" x14ac:dyDescent="0.45">
      <c r="B305" s="109" t="s">
        <v>1353</v>
      </c>
      <c r="C305" s="109" t="s">
        <v>1679</v>
      </c>
    </row>
    <row r="306" spans="2:3" x14ac:dyDescent="0.45">
      <c r="B306" s="109" t="s">
        <v>1354</v>
      </c>
      <c r="C306" s="109" t="s">
        <v>1679</v>
      </c>
    </row>
    <row r="307" spans="2:3" x14ac:dyDescent="0.45">
      <c r="B307" s="109" t="s">
        <v>1378</v>
      </c>
      <c r="C307" s="109" t="s">
        <v>1679</v>
      </c>
    </row>
    <row r="308" spans="2:3" x14ac:dyDescent="0.45">
      <c r="B308" s="109" t="s">
        <v>1379</v>
      </c>
      <c r="C308" s="109" t="s">
        <v>1679</v>
      </c>
    </row>
    <row r="309" spans="2:3" x14ac:dyDescent="0.45">
      <c r="B309" s="109" t="s">
        <v>1380</v>
      </c>
      <c r="C309" s="109" t="s">
        <v>1679</v>
      </c>
    </row>
    <row r="310" spans="2:3" x14ac:dyDescent="0.45">
      <c r="B310" s="109" t="s">
        <v>1654</v>
      </c>
      <c r="C310" s="109" t="s">
        <v>1679</v>
      </c>
    </row>
    <row r="311" spans="2:3" x14ac:dyDescent="0.45">
      <c r="B311" s="109" t="s">
        <v>1357</v>
      </c>
      <c r="C311" s="109" t="s">
        <v>1679</v>
      </c>
    </row>
    <row r="312" spans="2:3" x14ac:dyDescent="0.45">
      <c r="B312" s="109" t="s">
        <v>1382</v>
      </c>
      <c r="C312" s="109" t="s">
        <v>1679</v>
      </c>
    </row>
    <row r="313" spans="2:3" x14ac:dyDescent="0.45">
      <c r="B313" s="109" t="s">
        <v>1362</v>
      </c>
      <c r="C313" s="109" t="s">
        <v>1679</v>
      </c>
    </row>
    <row r="314" spans="2:3" x14ac:dyDescent="0.45">
      <c r="B314" s="109" t="s">
        <v>1363</v>
      </c>
      <c r="C314" s="109" t="s">
        <v>1679</v>
      </c>
    </row>
    <row r="315" spans="2:3" x14ac:dyDescent="0.45">
      <c r="B315" s="109" t="s">
        <v>1372</v>
      </c>
      <c r="C315" s="109" t="s">
        <v>1679</v>
      </c>
    </row>
    <row r="316" spans="2:3" x14ac:dyDescent="0.45">
      <c r="B316" s="109" t="s">
        <v>1373</v>
      </c>
      <c r="C316" s="109" t="s">
        <v>1679</v>
      </c>
    </row>
    <row r="317" spans="2:3" x14ac:dyDescent="0.45">
      <c r="B317" s="109" t="s">
        <v>1374</v>
      </c>
      <c r="C317" s="109" t="s">
        <v>1679</v>
      </c>
    </row>
    <row r="318" spans="2:3" x14ac:dyDescent="0.45">
      <c r="B318" s="109" t="s">
        <v>1375</v>
      </c>
      <c r="C318" s="109" t="s">
        <v>1679</v>
      </c>
    </row>
    <row r="319" spans="2:3" x14ac:dyDescent="0.45">
      <c r="B319" s="109" t="s">
        <v>1361</v>
      </c>
      <c r="C319" s="109" t="s">
        <v>1679</v>
      </c>
    </row>
    <row r="320" spans="2:3" x14ac:dyDescent="0.45">
      <c r="B320" s="109" t="s">
        <v>1364</v>
      </c>
      <c r="C320" s="109" t="s">
        <v>1679</v>
      </c>
    </row>
    <row r="321" spans="2:3" x14ac:dyDescent="0.45">
      <c r="B321" s="109" t="s">
        <v>1305</v>
      </c>
      <c r="C321" s="109" t="s">
        <v>1680</v>
      </c>
    </row>
    <row r="322" spans="2:3" x14ac:dyDescent="0.45">
      <c r="B322" s="109" t="s">
        <v>1306</v>
      </c>
      <c r="C322" s="109" t="s">
        <v>1680</v>
      </c>
    </row>
    <row r="323" spans="2:3" x14ac:dyDescent="0.45">
      <c r="B323" s="109" t="s">
        <v>1307</v>
      </c>
      <c r="C323" s="109" t="s">
        <v>1680</v>
      </c>
    </row>
    <row r="324" spans="2:3" x14ac:dyDescent="0.45">
      <c r="B324" s="109" t="s">
        <v>1308</v>
      </c>
      <c r="C324" s="109" t="s">
        <v>1680</v>
      </c>
    </row>
    <row r="325" spans="2:3" x14ac:dyDescent="0.45">
      <c r="B325" s="109" t="s">
        <v>1309</v>
      </c>
      <c r="C325" s="109" t="s">
        <v>1680</v>
      </c>
    </row>
    <row r="326" spans="2:3" x14ac:dyDescent="0.45">
      <c r="B326" s="109" t="s">
        <v>1343</v>
      </c>
      <c r="C326" s="109" t="s">
        <v>1680</v>
      </c>
    </row>
    <row r="327" spans="2:3" x14ac:dyDescent="0.45">
      <c r="B327" s="109" t="s">
        <v>1310</v>
      </c>
      <c r="C327" s="109" t="s">
        <v>1680</v>
      </c>
    </row>
    <row r="328" spans="2:3" x14ac:dyDescent="0.45">
      <c r="B328" s="109" t="s">
        <v>1311</v>
      </c>
      <c r="C328" s="109" t="s">
        <v>1682</v>
      </c>
    </row>
    <row r="329" spans="2:3" x14ac:dyDescent="0.45">
      <c r="B329" s="109" t="s">
        <v>1312</v>
      </c>
      <c r="C329" s="109" t="s">
        <v>1682</v>
      </c>
    </row>
    <row r="330" spans="2:3" x14ac:dyDescent="0.45">
      <c r="B330" s="109" t="s">
        <v>1313</v>
      </c>
      <c r="C330" s="109" t="s">
        <v>1682</v>
      </c>
    </row>
    <row r="331" spans="2:3" x14ac:dyDescent="0.45">
      <c r="B331" s="109" t="s">
        <v>1561</v>
      </c>
      <c r="C331" s="109" t="s">
        <v>1682</v>
      </c>
    </row>
    <row r="332" spans="2:3" x14ac:dyDescent="0.45">
      <c r="B332" s="109" t="s">
        <v>1347</v>
      </c>
      <c r="C332" s="109" t="s">
        <v>1682</v>
      </c>
    </row>
    <row r="333" spans="2:3" x14ac:dyDescent="0.45">
      <c r="B333" s="109" t="s">
        <v>1314</v>
      </c>
      <c r="C333" s="109" t="s">
        <v>1683</v>
      </c>
    </row>
    <row r="334" spans="2:3" x14ac:dyDescent="0.45">
      <c r="B334" s="109" t="s">
        <v>1315</v>
      </c>
      <c r="C334" s="109" t="s">
        <v>1683</v>
      </c>
    </row>
    <row r="335" spans="2:3" x14ac:dyDescent="0.45">
      <c r="B335" s="109" t="s">
        <v>1316</v>
      </c>
      <c r="C335" s="109" t="s">
        <v>1683</v>
      </c>
    </row>
    <row r="336" spans="2:3" x14ac:dyDescent="0.45">
      <c r="B336" s="109" t="s">
        <v>1317</v>
      </c>
      <c r="C336" s="109" t="s">
        <v>1683</v>
      </c>
    </row>
    <row r="337" spans="2:3" x14ac:dyDescent="0.45">
      <c r="B337" s="109" t="s">
        <v>1318</v>
      </c>
      <c r="C337" s="109" t="s">
        <v>1683</v>
      </c>
    </row>
    <row r="338" spans="2:3" x14ac:dyDescent="0.45">
      <c r="B338" s="109" t="s">
        <v>1319</v>
      </c>
      <c r="C338" s="109" t="s">
        <v>1683</v>
      </c>
    </row>
    <row r="339" spans="2:3" x14ac:dyDescent="0.45">
      <c r="B339" s="109" t="s">
        <v>1326</v>
      </c>
      <c r="C339" s="109" t="s">
        <v>1683</v>
      </c>
    </row>
    <row r="340" spans="2:3" x14ac:dyDescent="0.45">
      <c r="B340" s="109" t="s">
        <v>1328</v>
      </c>
      <c r="C340" s="109" t="s">
        <v>1683</v>
      </c>
    </row>
    <row r="341" spans="2:3" x14ac:dyDescent="0.45">
      <c r="B341" s="109" t="s">
        <v>1327</v>
      </c>
      <c r="C341" s="109" t="s">
        <v>1683</v>
      </c>
    </row>
    <row r="342" spans="2:3" x14ac:dyDescent="0.45">
      <c r="B342" s="109" t="s">
        <v>1329</v>
      </c>
      <c r="C342" s="109" t="s">
        <v>1683</v>
      </c>
    </row>
    <row r="343" spans="2:3" x14ac:dyDescent="0.45">
      <c r="B343" s="109" t="s">
        <v>1330</v>
      </c>
      <c r="C343" s="109" t="s">
        <v>1683</v>
      </c>
    </row>
    <row r="344" spans="2:3" x14ac:dyDescent="0.45">
      <c r="B344" s="109" t="s">
        <v>1331</v>
      </c>
      <c r="C344" s="109" t="s">
        <v>1683</v>
      </c>
    </row>
    <row r="346" spans="2:3" x14ac:dyDescent="0.45">
      <c r="B346" s="109" t="s">
        <v>1381</v>
      </c>
      <c r="C346" s="109" t="s">
        <v>1681</v>
      </c>
    </row>
    <row r="347" spans="2:3" x14ac:dyDescent="0.45">
      <c r="B347" s="109" t="s">
        <v>1712</v>
      </c>
      <c r="C347" s="109" t="s">
        <v>1713</v>
      </c>
    </row>
  </sheetData>
  <sheetProtection algorithmName="SHA-512" hashValue="OORAiluBG4tuEgTDuNrUYpIt5fWnZMLbFWz6Nwp/jkgboPDOHcpHOvT6FIoG1UKgOjq3309LufG1aIfQ2drc7Q==" saltValue="hZ5YUXnuw9kHzN71IsoGPQ==" spinCount="100000" sheet="1" objects="1" scenarios="1" selectLockedCells="1" selectUnlockedCells="1"/>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4AB12-329D-40F2-B0A7-896B67B88493}">
  <dimension ref="A1:H30"/>
  <sheetViews>
    <sheetView workbookViewId="0">
      <selection activeCell="D1" sqref="D1"/>
    </sheetView>
  </sheetViews>
  <sheetFormatPr defaultRowHeight="14.25" x14ac:dyDescent="0.45"/>
  <cols>
    <col min="1" max="1" width="43.53125" bestFit="1" customWidth="1"/>
    <col min="2" max="2" width="18.06640625" style="16" customWidth="1"/>
    <col min="3" max="3" width="15.73046875" customWidth="1"/>
    <col min="4" max="4" width="43.53125" bestFit="1" customWidth="1"/>
    <col min="5" max="5" width="13.33203125" hidden="1" customWidth="1"/>
    <col min="6" max="6" width="29.33203125" hidden="1" customWidth="1"/>
    <col min="7" max="25" width="0" hidden="1" customWidth="1"/>
  </cols>
  <sheetData>
    <row r="1" spans="1:4" x14ac:dyDescent="0.45">
      <c r="A1" s="232" t="s">
        <v>1783</v>
      </c>
      <c r="B1" s="232"/>
      <c r="C1" s="232"/>
    </row>
    <row r="2" spans="1:4" ht="14" customHeight="1" x14ac:dyDescent="0.45"/>
    <row r="3" spans="1:4" ht="14" customHeight="1" x14ac:dyDescent="0.45">
      <c r="A3" s="9" t="s">
        <v>1780</v>
      </c>
      <c r="B3" s="16">
        <v>-500000</v>
      </c>
    </row>
    <row r="4" spans="1:4" ht="14" customHeight="1" x14ac:dyDescent="0.45">
      <c r="A4" s="9"/>
    </row>
    <row r="5" spans="1:4" x14ac:dyDescent="0.45">
      <c r="A5" s="147" t="s">
        <v>1767</v>
      </c>
      <c r="B5" s="148">
        <v>316365.88</v>
      </c>
    </row>
    <row r="6" spans="1:4" x14ac:dyDescent="0.45">
      <c r="A6" s="147" t="s">
        <v>1768</v>
      </c>
      <c r="B6" s="148">
        <v>253708.95</v>
      </c>
    </row>
    <row r="7" spans="1:4" x14ac:dyDescent="0.45">
      <c r="A7" s="147" t="s">
        <v>1769</v>
      </c>
      <c r="B7" s="148">
        <v>310579.81</v>
      </c>
    </row>
    <row r="8" spans="1:4" x14ac:dyDescent="0.45">
      <c r="A8" s="147" t="s">
        <v>1770</v>
      </c>
      <c r="B8" s="148">
        <v>33534.75</v>
      </c>
    </row>
    <row r="9" spans="1:4" x14ac:dyDescent="0.45">
      <c r="A9" s="147" t="s">
        <v>1771</v>
      </c>
      <c r="B9" s="148">
        <v>271124.87</v>
      </c>
    </row>
    <row r="10" spans="1:4" x14ac:dyDescent="0.45">
      <c r="A10" s="147" t="s">
        <v>1772</v>
      </c>
      <c r="B10" s="148">
        <v>34403.919999999998</v>
      </c>
    </row>
    <row r="11" spans="1:4" x14ac:dyDescent="0.45">
      <c r="A11" s="147" t="s">
        <v>1773</v>
      </c>
      <c r="B11" s="148">
        <v>169198.26</v>
      </c>
    </row>
    <row r="12" spans="1:4" x14ac:dyDescent="0.45">
      <c r="A12" s="147" t="s">
        <v>1774</v>
      </c>
      <c r="B12" s="148">
        <v>205307.45</v>
      </c>
    </row>
    <row r="13" spans="1:4" x14ac:dyDescent="0.45">
      <c r="A13" s="147" t="s">
        <v>1775</v>
      </c>
      <c r="B13" s="148">
        <v>225144.99</v>
      </c>
    </row>
    <row r="14" spans="1:4" x14ac:dyDescent="0.45">
      <c r="A14" s="147" t="s">
        <v>1776</v>
      </c>
      <c r="B14" s="148">
        <v>294896.40999999997</v>
      </c>
      <c r="C14" s="85"/>
    </row>
    <row r="15" spans="1:4" x14ac:dyDescent="0.45">
      <c r="A15" s="147"/>
      <c r="B15" s="148"/>
      <c r="C15" s="152">
        <f>SUM(B2:B14)</f>
        <v>1614265.29</v>
      </c>
      <c r="D15" t="s">
        <v>1781</v>
      </c>
    </row>
    <row r="16" spans="1:4" x14ac:dyDescent="0.45">
      <c r="A16" s="147"/>
      <c r="B16" s="148"/>
      <c r="C16" s="85"/>
    </row>
    <row r="17" spans="1:8" x14ac:dyDescent="0.45">
      <c r="A17" s="147" t="s">
        <v>1777</v>
      </c>
      <c r="B17" s="148">
        <v>226658.46</v>
      </c>
      <c r="C17" s="85"/>
    </row>
    <row r="18" spans="1:8" x14ac:dyDescent="0.45">
      <c r="A18" s="147" t="s">
        <v>1778</v>
      </c>
      <c r="B18" s="148">
        <v>-665664.11</v>
      </c>
      <c r="C18" s="85"/>
    </row>
    <row r="19" spans="1:8" x14ac:dyDescent="0.45">
      <c r="C19" s="153">
        <f>SUM(B17:B18)</f>
        <v>-439005.65</v>
      </c>
      <c r="D19" t="s">
        <v>1782</v>
      </c>
    </row>
    <row r="20" spans="1:8" x14ac:dyDescent="0.45">
      <c r="C20" s="85"/>
      <c r="E20" s="155" t="s">
        <v>1785</v>
      </c>
      <c r="F20" s="155" t="s">
        <v>1793</v>
      </c>
      <c r="G20" s="155"/>
      <c r="H20" s="155"/>
    </row>
    <row r="21" spans="1:8" x14ac:dyDescent="0.45">
      <c r="C21" s="87">
        <f>SUM(C15:C19)</f>
        <v>1175259.6400000001</v>
      </c>
      <c r="D21" s="9" t="s">
        <v>1784</v>
      </c>
      <c r="E21" s="154">
        <v>-1130186.4700000063</v>
      </c>
      <c r="F21" s="89">
        <f>C21+E21</f>
        <v>45073.169999993872</v>
      </c>
      <c r="G21" s="88" t="s">
        <v>1786</v>
      </c>
      <c r="H21" s="88"/>
    </row>
    <row r="22" spans="1:8" x14ac:dyDescent="0.45">
      <c r="G22" s="88" t="s">
        <v>1789</v>
      </c>
    </row>
    <row r="23" spans="1:8" x14ac:dyDescent="0.45">
      <c r="C23" s="16">
        <v>291684.12</v>
      </c>
      <c r="D23" s="85" t="s">
        <v>1779</v>
      </c>
      <c r="G23" t="s">
        <v>1794</v>
      </c>
    </row>
    <row r="25" spans="1:8" x14ac:dyDescent="0.45">
      <c r="C25" s="16">
        <v>485474.48</v>
      </c>
      <c r="D25" t="s">
        <v>1787</v>
      </c>
    </row>
    <row r="27" spans="1:8" x14ac:dyDescent="0.45">
      <c r="C27" s="87">
        <f>SUM(C21:C25)</f>
        <v>1952418.2400000002</v>
      </c>
      <c r="D27" s="9" t="s">
        <v>1788</v>
      </c>
      <c r="E27" t="s">
        <v>1791</v>
      </c>
    </row>
    <row r="28" spans="1:8" x14ac:dyDescent="0.45">
      <c r="E28" s="156" t="s">
        <v>1790</v>
      </c>
    </row>
    <row r="29" spans="1:8" x14ac:dyDescent="0.45">
      <c r="E29" s="155" t="s">
        <v>1792</v>
      </c>
      <c r="F29" s="155" t="s">
        <v>1793</v>
      </c>
    </row>
    <row r="30" spans="1:8" x14ac:dyDescent="0.45">
      <c r="E30" s="16">
        <v>-1907345.0700000064</v>
      </c>
      <c r="F30" s="20">
        <f>C27+E30</f>
        <v>45073.169999993872</v>
      </c>
    </row>
  </sheetData>
  <sheetProtection algorithmName="SHA-512" hashValue="Z34I89rIJA297prgGYaDs3oK/80BQ8M700/ar1F6IYuRd7U5DMPXgqxD28ULx+/DCmtHTVa8HN48CvuFIEOjzQ==" saltValue="wYbPiWsmtlvYgTb/C7I5mg==" spinCount="100000" sheet="1" objects="1" scenarios="1" selectLockedCells="1" selectUnlockedCells="1"/>
  <mergeCells count="1">
    <mergeCell ref="A1:C1"/>
  </mergeCell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3EEC3-D8BB-4A94-97D6-B389E51EA654}">
  <dimension ref="A1:K351"/>
  <sheetViews>
    <sheetView topLeftCell="C1" zoomScaleNormal="100" workbookViewId="0">
      <selection activeCell="F1" sqref="F1"/>
    </sheetView>
  </sheetViews>
  <sheetFormatPr defaultRowHeight="14.25" x14ac:dyDescent="0.45"/>
  <cols>
    <col min="1" max="1" width="5.73046875" customWidth="1"/>
    <col min="2" max="2" width="12.265625" customWidth="1"/>
    <col min="3" max="3" width="37" bestFit="1" customWidth="1"/>
    <col min="6" max="6" width="16.73046875" style="5" customWidth="1"/>
    <col min="7" max="7" width="10.86328125" style="16" bestFit="1" customWidth="1"/>
    <col min="8" max="8" width="15.73046875" customWidth="1"/>
    <col min="9" max="9" width="17.6640625" customWidth="1"/>
    <col min="10" max="10" width="47.1328125" bestFit="1" customWidth="1"/>
    <col min="11" max="11" width="35.06640625" bestFit="1" customWidth="1"/>
  </cols>
  <sheetData>
    <row r="1" spans="1:11" ht="30" customHeight="1" x14ac:dyDescent="0.75">
      <c r="A1" s="226" t="s">
        <v>1089</v>
      </c>
      <c r="B1" s="151"/>
      <c r="C1" s="151"/>
    </row>
    <row r="2" spans="1:11" ht="13.15" customHeight="1" x14ac:dyDescent="0.75">
      <c r="A2" s="4"/>
    </row>
    <row r="3" spans="1:11" ht="18.7" customHeight="1" x14ac:dyDescent="0.75">
      <c r="A3" s="4"/>
      <c r="B3" s="6" t="s">
        <v>1090</v>
      </c>
      <c r="C3" s="7"/>
      <c r="D3" s="7"/>
      <c r="E3" s="7"/>
      <c r="F3" s="8">
        <v>44561</v>
      </c>
    </row>
    <row r="4" spans="1:11" ht="14.2" customHeight="1" x14ac:dyDescent="0.75">
      <c r="A4" s="4"/>
      <c r="B4" s="9"/>
      <c r="F4" s="10"/>
    </row>
    <row r="5" spans="1:11" ht="13.15" customHeight="1" x14ac:dyDescent="0.45">
      <c r="F5" s="11" t="s">
        <v>1091</v>
      </c>
    </row>
    <row r="6" spans="1:11" ht="13.15" customHeight="1" x14ac:dyDescent="0.45">
      <c r="B6">
        <v>11110010</v>
      </c>
      <c r="C6" t="s">
        <v>1092</v>
      </c>
      <c r="F6" s="5">
        <v>488729</v>
      </c>
      <c r="G6" s="16">
        <v>459679</v>
      </c>
      <c r="H6" s="54">
        <f>SUM(F6:G6)</f>
        <v>948408</v>
      </c>
      <c r="I6" t="str">
        <f>VLOOKUP(C6,$J$6:$J$351,1,FALSE)</f>
        <v>HQ Petty Cash</v>
      </c>
      <c r="J6" t="s">
        <v>1092</v>
      </c>
      <c r="K6" t="str">
        <f>VLOOKUP(J6,$C$6:$C$242,1,FALSE)</f>
        <v>HQ Petty Cash</v>
      </c>
    </row>
    <row r="7" spans="1:11" x14ac:dyDescent="0.45">
      <c r="B7">
        <v>11110020</v>
      </c>
      <c r="C7" t="s">
        <v>1093</v>
      </c>
      <c r="F7" s="5">
        <v>504479</v>
      </c>
      <c r="G7" s="16">
        <v>459679</v>
      </c>
      <c r="H7" s="54">
        <f t="shared" ref="H7:H70" si="0">SUM(F7:G7)</f>
        <v>964158</v>
      </c>
      <c r="I7" t="str">
        <f t="shared" ref="I7:I70" si="1">VLOOKUP(C7,$J$6:$J$351,1,FALSE)</f>
        <v>Outlet Cash Floats</v>
      </c>
      <c r="J7" t="s">
        <v>1093</v>
      </c>
      <c r="K7" t="str">
        <f t="shared" ref="K7:K70" si="2">VLOOKUP(J7,$C$6:$C$242,1,FALSE)</f>
        <v>Outlet Cash Floats</v>
      </c>
    </row>
    <row r="8" spans="1:11" x14ac:dyDescent="0.45">
      <c r="B8">
        <v>11120060</v>
      </c>
      <c r="C8" t="s">
        <v>1094</v>
      </c>
      <c r="F8" s="5">
        <v>4411671.5299999993</v>
      </c>
      <c r="G8" s="16">
        <v>459679</v>
      </c>
      <c r="H8" s="54">
        <f t="shared" si="0"/>
        <v>4871350.5299999993</v>
      </c>
      <c r="I8" t="str">
        <f t="shared" si="1"/>
        <v>DBS SGD Current A/C 1</v>
      </c>
      <c r="J8" t="s">
        <v>1413</v>
      </c>
      <c r="K8" t="e">
        <f t="shared" si="2"/>
        <v>#N/A</v>
      </c>
    </row>
    <row r="9" spans="1:11" x14ac:dyDescent="0.45">
      <c r="B9">
        <v>11120061</v>
      </c>
      <c r="C9" t="s">
        <v>1095</v>
      </c>
      <c r="F9" s="5">
        <v>455746.26</v>
      </c>
      <c r="G9" s="16">
        <v>459679</v>
      </c>
      <c r="H9" s="54">
        <f t="shared" si="0"/>
        <v>915425.26</v>
      </c>
      <c r="I9" t="str">
        <f t="shared" si="1"/>
        <v>DBS SGD Current A/C 1 - Incoming</v>
      </c>
      <c r="J9" t="s">
        <v>1388</v>
      </c>
      <c r="K9" t="e">
        <f t="shared" si="2"/>
        <v>#N/A</v>
      </c>
    </row>
    <row r="10" spans="1:11" x14ac:dyDescent="0.45">
      <c r="B10">
        <v>11120062</v>
      </c>
      <c r="C10" t="s">
        <v>1096</v>
      </c>
      <c r="F10" s="5">
        <v>457872.7</v>
      </c>
      <c r="G10" s="16">
        <v>459679</v>
      </c>
      <c r="H10" s="54">
        <f t="shared" si="0"/>
        <v>917551.7</v>
      </c>
      <c r="I10" t="str">
        <f t="shared" si="1"/>
        <v>DBS SGD Current A/C 1 - Outgoing</v>
      </c>
      <c r="J10" t="s">
        <v>1414</v>
      </c>
      <c r="K10" t="e">
        <f t="shared" si="2"/>
        <v>#N/A</v>
      </c>
    </row>
    <row r="11" spans="1:11" x14ac:dyDescent="0.45">
      <c r="B11">
        <v>11120080</v>
      </c>
      <c r="C11" t="s">
        <v>1097</v>
      </c>
      <c r="F11" s="5">
        <v>692903.84</v>
      </c>
      <c r="G11" s="16">
        <v>459679</v>
      </c>
      <c r="H11" s="54">
        <f t="shared" si="0"/>
        <v>1152582.8399999999</v>
      </c>
      <c r="I11" t="str">
        <f t="shared" si="1"/>
        <v>DBS USD Current A/C 1</v>
      </c>
      <c r="J11" t="s">
        <v>1094</v>
      </c>
      <c r="K11" t="str">
        <f t="shared" si="2"/>
        <v>DBS SGD Current A/C 1</v>
      </c>
    </row>
    <row r="12" spans="1:11" x14ac:dyDescent="0.45">
      <c r="B12">
        <v>11120081</v>
      </c>
      <c r="C12" t="s">
        <v>1555</v>
      </c>
      <c r="F12" s="5">
        <v>459751.81</v>
      </c>
      <c r="G12" s="16">
        <v>459679</v>
      </c>
      <c r="H12" s="54">
        <f t="shared" si="0"/>
        <v>919430.81</v>
      </c>
      <c r="I12" t="str">
        <f t="shared" si="1"/>
        <v>DBS USD Current A/C 1 - Incoming</v>
      </c>
      <c r="J12" t="s">
        <v>1095</v>
      </c>
      <c r="K12" t="str">
        <f t="shared" si="2"/>
        <v>DBS SGD Current A/C 1 - Incoming</v>
      </c>
    </row>
    <row r="13" spans="1:11" x14ac:dyDescent="0.45">
      <c r="B13">
        <v>11120082</v>
      </c>
      <c r="C13" t="s">
        <v>1098</v>
      </c>
      <c r="F13" s="5">
        <v>459679</v>
      </c>
      <c r="G13" s="16">
        <v>459679</v>
      </c>
      <c r="H13" s="54">
        <f t="shared" si="0"/>
        <v>919358</v>
      </c>
      <c r="I13" t="str">
        <f t="shared" si="1"/>
        <v>DBS USD Current A/C 1 - Outgoing</v>
      </c>
      <c r="J13" t="s">
        <v>1096</v>
      </c>
      <c r="K13" t="str">
        <f t="shared" si="2"/>
        <v>DBS SGD Current A/C 1 - Outgoing</v>
      </c>
    </row>
    <row r="14" spans="1:11" x14ac:dyDescent="0.45">
      <c r="B14">
        <v>11120200</v>
      </c>
      <c r="C14" t="s">
        <v>1099</v>
      </c>
      <c r="F14" s="5">
        <v>1671989.6600000001</v>
      </c>
      <c r="G14" s="16">
        <v>-459679</v>
      </c>
      <c r="H14" s="54">
        <f t="shared" si="0"/>
        <v>1212310.6600000001</v>
      </c>
      <c r="I14" t="str">
        <f t="shared" si="1"/>
        <v>UOB SGD Current A/C 1</v>
      </c>
      <c r="J14" t="s">
        <v>1097</v>
      </c>
      <c r="K14" t="str">
        <f t="shared" si="2"/>
        <v>DBS USD Current A/C 1</v>
      </c>
    </row>
    <row r="15" spans="1:11" x14ac:dyDescent="0.45">
      <c r="B15">
        <v>11210010</v>
      </c>
      <c r="C15" t="s">
        <v>1100</v>
      </c>
      <c r="F15" s="5">
        <v>1375601.77</v>
      </c>
      <c r="G15" s="16">
        <v>-459679</v>
      </c>
      <c r="H15" s="54">
        <f t="shared" si="0"/>
        <v>915922.77</v>
      </c>
      <c r="I15" t="str">
        <f t="shared" si="1"/>
        <v>Trade Receivables Control: External</v>
      </c>
      <c r="J15" t="s">
        <v>1555</v>
      </c>
      <c r="K15" t="str">
        <f t="shared" si="2"/>
        <v>DBS USD Current A/C 1 - Incoming</v>
      </c>
    </row>
    <row r="16" spans="1:11" x14ac:dyDescent="0.45">
      <c r="B16">
        <v>11210020</v>
      </c>
      <c r="C16" t="s">
        <v>1101</v>
      </c>
      <c r="F16" s="5">
        <v>617893.54</v>
      </c>
      <c r="G16" s="16">
        <v>-459679</v>
      </c>
      <c r="H16" s="54">
        <f t="shared" si="0"/>
        <v>158214.54000000004</v>
      </c>
      <c r="I16" t="str">
        <f t="shared" si="1"/>
        <v>Trade Receivables Control: Interco</v>
      </c>
      <c r="J16" t="s">
        <v>1098</v>
      </c>
      <c r="K16" t="str">
        <f t="shared" si="2"/>
        <v>DBS USD Current A/C 1 - Outgoing</v>
      </c>
    </row>
    <row r="17" spans="2:11" x14ac:dyDescent="0.45">
      <c r="B17">
        <v>11210030</v>
      </c>
      <c r="C17" t="s">
        <v>1102</v>
      </c>
      <c r="F17" s="5">
        <v>-471621.58</v>
      </c>
      <c r="G17" s="16">
        <v>-459679</v>
      </c>
      <c r="H17" s="54">
        <f t="shared" si="0"/>
        <v>-931300.58000000007</v>
      </c>
      <c r="I17" t="str">
        <f t="shared" si="1"/>
        <v>Provn Doubtful Debts: Trade: External</v>
      </c>
      <c r="J17" t="s">
        <v>1099</v>
      </c>
      <c r="K17" t="str">
        <f t="shared" si="2"/>
        <v>UOB SGD Current A/C 1</v>
      </c>
    </row>
    <row r="18" spans="2:11" x14ac:dyDescent="0.45">
      <c r="B18">
        <v>11210050</v>
      </c>
      <c r="C18" t="s">
        <v>1103</v>
      </c>
      <c r="F18" s="5">
        <v>-457250.91</v>
      </c>
      <c r="G18" s="16">
        <v>-459679</v>
      </c>
      <c r="H18" s="54">
        <f t="shared" si="0"/>
        <v>-916929.90999999992</v>
      </c>
      <c r="I18" t="str">
        <f t="shared" si="1"/>
        <v>Translation: Trade Receivables: Externa</v>
      </c>
      <c r="J18" t="s">
        <v>1415</v>
      </c>
      <c r="K18" t="e">
        <f t="shared" si="2"/>
        <v>#N/A</v>
      </c>
    </row>
    <row r="19" spans="2:11" x14ac:dyDescent="0.45">
      <c r="B19">
        <v>11210070</v>
      </c>
      <c r="C19" t="s">
        <v>1104</v>
      </c>
      <c r="F19" s="5">
        <v>407138.22</v>
      </c>
      <c r="G19" s="16">
        <v>-459679</v>
      </c>
      <c r="H19" s="54">
        <f t="shared" si="0"/>
        <v>-52540.780000000028</v>
      </c>
      <c r="I19" t="str">
        <f t="shared" si="1"/>
        <v>Unbilled Trade Receivables: External</v>
      </c>
      <c r="J19" t="s">
        <v>1416</v>
      </c>
      <c r="K19" t="e">
        <f t="shared" si="2"/>
        <v>#N/A</v>
      </c>
    </row>
    <row r="20" spans="2:11" x14ac:dyDescent="0.45">
      <c r="B20">
        <v>11210088</v>
      </c>
      <c r="C20" t="s">
        <v>1105</v>
      </c>
      <c r="F20" s="5">
        <v>-443989.51</v>
      </c>
      <c r="G20" s="16">
        <v>-459679</v>
      </c>
      <c r="H20" s="54">
        <f t="shared" si="0"/>
        <v>-903668.51</v>
      </c>
      <c r="I20" t="str">
        <f t="shared" si="1"/>
        <v>Event Voucher (Redemption)</v>
      </c>
      <c r="J20" t="s">
        <v>1417</v>
      </c>
      <c r="K20" t="e">
        <f t="shared" si="2"/>
        <v>#N/A</v>
      </c>
    </row>
    <row r="21" spans="2:11" x14ac:dyDescent="0.45">
      <c r="B21">
        <v>11210097</v>
      </c>
      <c r="C21" t="s">
        <v>1106</v>
      </c>
      <c r="F21" s="5">
        <v>-460244</v>
      </c>
      <c r="G21" s="16">
        <v>-459679</v>
      </c>
      <c r="H21" s="54">
        <f t="shared" si="0"/>
        <v>-919923</v>
      </c>
      <c r="I21" t="str">
        <f t="shared" si="1"/>
        <v>Eatigo Cash Voucher</v>
      </c>
      <c r="J21" t="s">
        <v>1418</v>
      </c>
      <c r="K21" t="e">
        <f t="shared" si="2"/>
        <v>#N/A</v>
      </c>
    </row>
    <row r="22" spans="2:11" x14ac:dyDescent="0.45">
      <c r="B22">
        <v>11210100</v>
      </c>
      <c r="C22" t="s">
        <v>1107</v>
      </c>
      <c r="F22" s="5">
        <v>-459679</v>
      </c>
      <c r="G22" s="16">
        <v>-459679</v>
      </c>
      <c r="H22" s="54">
        <f t="shared" si="0"/>
        <v>-919358</v>
      </c>
      <c r="I22" t="str">
        <f t="shared" si="1"/>
        <v>Cash Float Exchange</v>
      </c>
      <c r="J22" t="s">
        <v>1389</v>
      </c>
      <c r="K22" t="e">
        <f t="shared" si="2"/>
        <v>#N/A</v>
      </c>
    </row>
    <row r="23" spans="2:11" x14ac:dyDescent="0.45">
      <c r="B23">
        <v>11219998</v>
      </c>
      <c r="C23" t="s">
        <v>1108</v>
      </c>
      <c r="F23" s="5">
        <v>-434629</v>
      </c>
      <c r="G23" s="16">
        <v>-459679</v>
      </c>
      <c r="H23" s="54">
        <f t="shared" si="0"/>
        <v>-894308</v>
      </c>
      <c r="I23" t="str">
        <f t="shared" si="1"/>
        <v>Intersegment Clearing</v>
      </c>
      <c r="J23" t="s">
        <v>1419</v>
      </c>
      <c r="K23" t="e">
        <f t="shared" si="2"/>
        <v>#N/A</v>
      </c>
    </row>
    <row r="24" spans="2:11" x14ac:dyDescent="0.45">
      <c r="B24">
        <v>11219999</v>
      </c>
      <c r="C24" t="s">
        <v>1109</v>
      </c>
      <c r="F24" s="5">
        <v>-467159.01</v>
      </c>
      <c r="G24" s="16">
        <v>-459679</v>
      </c>
      <c r="H24" s="54">
        <f t="shared" si="0"/>
        <v>-926838.01</v>
      </c>
      <c r="I24" t="str">
        <f t="shared" si="1"/>
        <v>Interco Clearing</v>
      </c>
      <c r="J24" t="s">
        <v>1100</v>
      </c>
      <c r="K24" t="str">
        <f t="shared" si="2"/>
        <v>Trade Receivables Control: External</v>
      </c>
    </row>
    <row r="25" spans="2:11" x14ac:dyDescent="0.45">
      <c r="B25">
        <v>11310010</v>
      </c>
      <c r="C25" t="s">
        <v>1110</v>
      </c>
      <c r="F25" s="5">
        <v>-46530.489999999991</v>
      </c>
      <c r="G25" s="16">
        <v>-459679</v>
      </c>
      <c r="H25" s="54">
        <f t="shared" si="0"/>
        <v>-506209.49</v>
      </c>
      <c r="I25" t="str">
        <f t="shared" si="1"/>
        <v>Raw Materials</v>
      </c>
      <c r="J25" t="s">
        <v>1101</v>
      </c>
      <c r="K25" t="str">
        <f t="shared" si="2"/>
        <v>Trade Receivables Control: Interco</v>
      </c>
    </row>
    <row r="26" spans="2:11" x14ac:dyDescent="0.45">
      <c r="B26">
        <v>11310020</v>
      </c>
      <c r="C26" t="s">
        <v>1111</v>
      </c>
      <c r="F26" s="5">
        <v>-428168.98</v>
      </c>
      <c r="G26" s="16">
        <v>-459679</v>
      </c>
      <c r="H26" s="54">
        <f t="shared" si="0"/>
        <v>-887847.98</v>
      </c>
      <c r="I26" t="str">
        <f t="shared" si="1"/>
        <v>Beverages</v>
      </c>
      <c r="J26" t="s">
        <v>1102</v>
      </c>
      <c r="K26" t="str">
        <f t="shared" si="2"/>
        <v>Provn Doubtful Debts: Trade: External</v>
      </c>
    </row>
    <row r="27" spans="2:11" x14ac:dyDescent="0.45">
      <c r="B27">
        <v>11310030</v>
      </c>
      <c r="C27" t="s">
        <v>1112</v>
      </c>
      <c r="F27" s="5">
        <v>-115214.27000000002</v>
      </c>
      <c r="G27" s="16">
        <v>-459679</v>
      </c>
      <c r="H27" s="54">
        <f t="shared" si="0"/>
        <v>-574893.27</v>
      </c>
      <c r="I27" t="str">
        <f t="shared" si="1"/>
        <v>Alcohol</v>
      </c>
      <c r="J27" t="s">
        <v>1387</v>
      </c>
      <c r="K27" t="e">
        <f t="shared" si="2"/>
        <v>#N/A</v>
      </c>
    </row>
    <row r="28" spans="2:11" x14ac:dyDescent="0.45">
      <c r="B28">
        <v>11320010</v>
      </c>
      <c r="C28" t="s">
        <v>1113</v>
      </c>
      <c r="F28" s="5">
        <v>-455111.61</v>
      </c>
      <c r="G28" s="16">
        <v>-459679</v>
      </c>
      <c r="H28" s="54">
        <f t="shared" si="0"/>
        <v>-914790.61</v>
      </c>
      <c r="I28" t="str">
        <f t="shared" si="1"/>
        <v>Work In Progress</v>
      </c>
      <c r="J28" t="s">
        <v>1103</v>
      </c>
      <c r="K28" t="str">
        <f t="shared" si="2"/>
        <v>Translation: Trade Receivables: Externa</v>
      </c>
    </row>
    <row r="29" spans="2:11" x14ac:dyDescent="0.45">
      <c r="B29">
        <v>11330010</v>
      </c>
      <c r="C29" t="s">
        <v>1114</v>
      </c>
      <c r="F29" s="5">
        <v>-389273.85</v>
      </c>
      <c r="G29" s="16">
        <v>-459679</v>
      </c>
      <c r="H29" s="54">
        <f t="shared" si="0"/>
        <v>-848952.85</v>
      </c>
      <c r="I29" t="str">
        <f t="shared" si="1"/>
        <v>Finished Goods Inventories</v>
      </c>
      <c r="J29" t="s">
        <v>1104</v>
      </c>
      <c r="K29" t="str">
        <f t="shared" si="2"/>
        <v>Unbilled Trade Receivables: External</v>
      </c>
    </row>
    <row r="30" spans="2:11" x14ac:dyDescent="0.45">
      <c r="B30">
        <v>11340010</v>
      </c>
      <c r="C30" t="s">
        <v>1115</v>
      </c>
      <c r="F30" s="5">
        <v>-401330.27</v>
      </c>
      <c r="G30" s="16">
        <v>-459679</v>
      </c>
      <c r="H30" s="54">
        <f t="shared" si="0"/>
        <v>-861009.27</v>
      </c>
      <c r="I30" t="str">
        <f t="shared" si="1"/>
        <v>Trading Goods</v>
      </c>
      <c r="J30" t="s">
        <v>1105</v>
      </c>
      <c r="K30" t="str">
        <f t="shared" si="2"/>
        <v>Event Voucher (Redemption)</v>
      </c>
    </row>
    <row r="31" spans="2:11" x14ac:dyDescent="0.45">
      <c r="B31">
        <v>11350030</v>
      </c>
      <c r="C31" t="s">
        <v>1116</v>
      </c>
      <c r="F31" s="5">
        <v>-459623.99</v>
      </c>
      <c r="G31" s="16">
        <v>-459679</v>
      </c>
      <c r="H31" s="54">
        <f t="shared" si="0"/>
        <v>-919302.99</v>
      </c>
      <c r="I31" t="str">
        <f t="shared" si="1"/>
        <v>Inventory: Packaging</v>
      </c>
      <c r="J31" t="s">
        <v>1106</v>
      </c>
      <c r="K31" t="str">
        <f t="shared" si="2"/>
        <v>Eatigo Cash Voucher</v>
      </c>
    </row>
    <row r="32" spans="2:11" x14ac:dyDescent="0.45">
      <c r="B32">
        <v>11500010</v>
      </c>
      <c r="C32" t="s">
        <v>1117</v>
      </c>
      <c r="F32" s="5">
        <v>447232.6</v>
      </c>
      <c r="G32" s="16">
        <v>-459679</v>
      </c>
      <c r="H32" s="54">
        <f t="shared" si="0"/>
        <v>-12446.400000000023</v>
      </c>
      <c r="I32" t="str">
        <f t="shared" si="1"/>
        <v>Input GST Receivable</v>
      </c>
      <c r="J32" t="s">
        <v>1107</v>
      </c>
      <c r="K32" t="str">
        <f t="shared" si="2"/>
        <v>Cash Float Exchange</v>
      </c>
    </row>
    <row r="33" spans="2:11" x14ac:dyDescent="0.45">
      <c r="B33">
        <v>11500030</v>
      </c>
      <c r="C33" t="s">
        <v>1556</v>
      </c>
      <c r="F33" s="5">
        <v>-456199</v>
      </c>
      <c r="G33" s="16">
        <v>-459679</v>
      </c>
      <c r="H33" s="54">
        <f t="shared" si="0"/>
        <v>-915878</v>
      </c>
      <c r="I33" t="str">
        <f t="shared" si="1"/>
        <v>Grants Income Receivable</v>
      </c>
      <c r="J33" t="s">
        <v>1108</v>
      </c>
      <c r="K33" t="str">
        <f t="shared" si="2"/>
        <v>Intersegment Clearing</v>
      </c>
    </row>
    <row r="34" spans="2:11" x14ac:dyDescent="0.45">
      <c r="B34">
        <v>11500040</v>
      </c>
      <c r="C34" t="s">
        <v>1118</v>
      </c>
      <c r="F34" s="5">
        <v>397038.15</v>
      </c>
      <c r="H34" s="54">
        <f t="shared" si="0"/>
        <v>397038.15</v>
      </c>
      <c r="I34" t="str">
        <f t="shared" si="1"/>
        <v>Prepayments</v>
      </c>
      <c r="J34" t="s">
        <v>1109</v>
      </c>
      <c r="K34" t="str">
        <f t="shared" si="2"/>
        <v>Interco Clearing</v>
      </c>
    </row>
    <row r="35" spans="2:11" x14ac:dyDescent="0.45">
      <c r="B35">
        <v>11500045</v>
      </c>
      <c r="C35" t="s">
        <v>1119</v>
      </c>
      <c r="F35" s="5">
        <v>52077.13</v>
      </c>
      <c r="H35" s="54">
        <f t="shared" si="0"/>
        <v>52077.13</v>
      </c>
      <c r="I35" t="str">
        <f t="shared" si="1"/>
        <v>Downpayment &amp; Advance Payment</v>
      </c>
      <c r="J35" t="s">
        <v>1110</v>
      </c>
      <c r="K35" t="str">
        <f t="shared" si="2"/>
        <v>Raw Materials</v>
      </c>
    </row>
    <row r="36" spans="2:11" x14ac:dyDescent="0.45">
      <c r="B36">
        <v>11500060</v>
      </c>
      <c r="C36" t="s">
        <v>1120</v>
      </c>
      <c r="F36" s="5">
        <v>2597493.94</v>
      </c>
      <c r="G36" s="16">
        <v>459679</v>
      </c>
      <c r="H36" s="54">
        <f t="shared" si="0"/>
        <v>3057172.94</v>
      </c>
      <c r="I36" t="str">
        <f t="shared" si="1"/>
        <v>Deposits: Rental</v>
      </c>
      <c r="J36" t="s">
        <v>1111</v>
      </c>
      <c r="K36" t="str">
        <f t="shared" si="2"/>
        <v>Beverages</v>
      </c>
    </row>
    <row r="37" spans="2:11" x14ac:dyDescent="0.45">
      <c r="B37">
        <v>11500066</v>
      </c>
      <c r="C37" t="s">
        <v>1121</v>
      </c>
      <c r="F37" s="5">
        <v>591287.75</v>
      </c>
      <c r="G37" s="16">
        <v>459679</v>
      </c>
      <c r="H37" s="54">
        <f t="shared" si="0"/>
        <v>1050966.75</v>
      </c>
      <c r="I37" t="str">
        <f t="shared" si="1"/>
        <v>Deposits: Utilities</v>
      </c>
      <c r="J37" t="s">
        <v>1112</v>
      </c>
      <c r="K37" t="str">
        <f t="shared" si="2"/>
        <v>Alcohol</v>
      </c>
    </row>
    <row r="38" spans="2:11" x14ac:dyDescent="0.45">
      <c r="B38">
        <v>11500070</v>
      </c>
      <c r="C38" t="s">
        <v>1122</v>
      </c>
      <c r="F38" s="5">
        <v>500071</v>
      </c>
      <c r="G38" s="16">
        <v>459679</v>
      </c>
      <c r="H38" s="54">
        <f t="shared" si="0"/>
        <v>959750</v>
      </c>
      <c r="I38" t="str">
        <f t="shared" si="1"/>
        <v>Deposits: Others</v>
      </c>
      <c r="J38" t="s">
        <v>1113</v>
      </c>
      <c r="K38" t="str">
        <f t="shared" si="2"/>
        <v>Work In Progress</v>
      </c>
    </row>
    <row r="39" spans="2:11" x14ac:dyDescent="0.45">
      <c r="B39">
        <v>11500080</v>
      </c>
      <c r="C39" t="s">
        <v>1123</v>
      </c>
      <c r="F39" s="5">
        <v>459679</v>
      </c>
      <c r="G39" s="16">
        <v>459679</v>
      </c>
      <c r="H39" s="54">
        <f t="shared" si="0"/>
        <v>919358</v>
      </c>
      <c r="I39" t="str">
        <f t="shared" si="1"/>
        <v>Recoverable: Interco</v>
      </c>
      <c r="J39" t="s">
        <v>1114</v>
      </c>
      <c r="K39" t="str">
        <f t="shared" si="2"/>
        <v>Finished Goods Inventories</v>
      </c>
    </row>
    <row r="40" spans="2:11" x14ac:dyDescent="0.45">
      <c r="B40">
        <v>11500090</v>
      </c>
      <c r="C40" t="s">
        <v>1124</v>
      </c>
      <c r="F40" s="5">
        <v>465050.93</v>
      </c>
      <c r="G40" s="16">
        <v>459679</v>
      </c>
      <c r="H40" s="54">
        <f t="shared" si="0"/>
        <v>924729.92999999993</v>
      </c>
      <c r="I40" t="str">
        <f t="shared" si="1"/>
        <v>Recoverable: External</v>
      </c>
      <c r="J40" t="s">
        <v>1115</v>
      </c>
      <c r="K40" t="str">
        <f t="shared" si="2"/>
        <v>Trading Goods</v>
      </c>
    </row>
    <row r="41" spans="2:11" x14ac:dyDescent="0.45">
      <c r="B41">
        <v>12200010</v>
      </c>
      <c r="C41" t="s">
        <v>1125</v>
      </c>
      <c r="F41" s="5">
        <v>24500000</v>
      </c>
      <c r="H41" s="54">
        <f t="shared" si="0"/>
        <v>24500000</v>
      </c>
      <c r="I41" t="str">
        <f t="shared" si="1"/>
        <v>Invt In Subsidiaries</v>
      </c>
      <c r="J41" t="s">
        <v>1116</v>
      </c>
      <c r="K41" t="str">
        <f t="shared" si="2"/>
        <v>Inventory: Packaging</v>
      </c>
    </row>
    <row r="42" spans="2:11" x14ac:dyDescent="0.45">
      <c r="B42">
        <v>12500010</v>
      </c>
      <c r="C42" t="s">
        <v>1126</v>
      </c>
      <c r="F42" s="5">
        <v>559381.91</v>
      </c>
      <c r="G42" s="16">
        <v>459679</v>
      </c>
      <c r="H42" s="54">
        <f t="shared" si="0"/>
        <v>1019060.91</v>
      </c>
      <c r="I42" t="str">
        <f t="shared" si="1"/>
        <v>Construction In-Progress</v>
      </c>
      <c r="J42" t="s">
        <v>1392</v>
      </c>
      <c r="K42" t="e">
        <f t="shared" si="2"/>
        <v>#N/A</v>
      </c>
    </row>
    <row r="43" spans="2:11" x14ac:dyDescent="0.45">
      <c r="B43">
        <v>12500050</v>
      </c>
      <c r="C43" t="s">
        <v>1127</v>
      </c>
      <c r="F43" s="5">
        <v>4337554.0600000005</v>
      </c>
      <c r="G43" s="16">
        <v>459679</v>
      </c>
      <c r="H43" s="54">
        <f t="shared" si="0"/>
        <v>4797233.0600000005</v>
      </c>
      <c r="I43" t="str">
        <f t="shared" si="1"/>
        <v>Leasehold Improvements</v>
      </c>
      <c r="J43" t="s">
        <v>1117</v>
      </c>
      <c r="K43" t="str">
        <f t="shared" si="2"/>
        <v>Input GST Receivable</v>
      </c>
    </row>
    <row r="44" spans="2:11" x14ac:dyDescent="0.45">
      <c r="B44">
        <v>12500060</v>
      </c>
      <c r="C44" t="s">
        <v>1128</v>
      </c>
      <c r="F44" s="5">
        <v>-1512994.98</v>
      </c>
      <c r="G44" s="16">
        <v>459679</v>
      </c>
      <c r="H44" s="54">
        <f t="shared" si="0"/>
        <v>-1053315.98</v>
      </c>
      <c r="I44" t="str">
        <f t="shared" si="1"/>
        <v>Accum Deprn: Leasehold Improvements</v>
      </c>
      <c r="J44" t="s">
        <v>1422</v>
      </c>
      <c r="K44" t="e">
        <f t="shared" si="2"/>
        <v>#N/A</v>
      </c>
    </row>
    <row r="45" spans="2:11" x14ac:dyDescent="0.45">
      <c r="B45">
        <v>12500070</v>
      </c>
      <c r="C45" t="s">
        <v>1129</v>
      </c>
      <c r="F45" s="5">
        <v>833445.27</v>
      </c>
      <c r="G45" s="16">
        <v>459679</v>
      </c>
      <c r="H45" s="54">
        <f t="shared" si="0"/>
        <v>1293124.27</v>
      </c>
      <c r="I45" t="str">
        <f t="shared" si="1"/>
        <v>Office Furn &amp; Fittings</v>
      </c>
      <c r="J45" t="s">
        <v>1556</v>
      </c>
      <c r="K45" t="str">
        <f t="shared" si="2"/>
        <v>Grants Income Receivable</v>
      </c>
    </row>
    <row r="46" spans="2:11" x14ac:dyDescent="0.45">
      <c r="B46">
        <v>12500080</v>
      </c>
      <c r="C46" t="s">
        <v>1130</v>
      </c>
      <c r="F46" s="5">
        <v>268770.42000000004</v>
      </c>
      <c r="G46" s="16">
        <v>459679</v>
      </c>
      <c r="H46" s="54">
        <f t="shared" si="0"/>
        <v>728449.42</v>
      </c>
      <c r="I46" t="str">
        <f t="shared" si="1"/>
        <v>Accum Deprn: Office Furn &amp; Fittings</v>
      </c>
      <c r="J46" t="s">
        <v>1118</v>
      </c>
      <c r="K46" t="str">
        <f t="shared" si="2"/>
        <v>Prepayments</v>
      </c>
    </row>
    <row r="47" spans="2:11" x14ac:dyDescent="0.45">
      <c r="B47">
        <v>12500090</v>
      </c>
      <c r="C47" t="s">
        <v>1131</v>
      </c>
      <c r="F47" s="5">
        <v>891536.71</v>
      </c>
      <c r="G47" s="16">
        <v>459679</v>
      </c>
      <c r="H47" s="54">
        <f t="shared" si="0"/>
        <v>1351215.71</v>
      </c>
      <c r="I47" t="str">
        <f t="shared" si="1"/>
        <v>Office Equipment</v>
      </c>
      <c r="J47" t="s">
        <v>1391</v>
      </c>
      <c r="K47" t="e">
        <f t="shared" si="2"/>
        <v>#N/A</v>
      </c>
    </row>
    <row r="48" spans="2:11" x14ac:dyDescent="0.45">
      <c r="B48">
        <v>12500100</v>
      </c>
      <c r="C48" t="s">
        <v>1132</v>
      </c>
      <c r="F48" s="5">
        <v>328278.01</v>
      </c>
      <c r="G48" s="16">
        <v>459679</v>
      </c>
      <c r="H48" s="54">
        <f t="shared" si="0"/>
        <v>787957.01</v>
      </c>
      <c r="I48" t="str">
        <f t="shared" si="1"/>
        <v>Accum Deprn: Office Equipment</v>
      </c>
      <c r="J48" t="s">
        <v>1119</v>
      </c>
      <c r="K48" t="str">
        <f t="shared" si="2"/>
        <v>Downpayment &amp; Advance Payment</v>
      </c>
    </row>
    <row r="49" spans="2:11" x14ac:dyDescent="0.45">
      <c r="B49">
        <v>12500110</v>
      </c>
      <c r="C49" t="s">
        <v>1133</v>
      </c>
      <c r="F49" s="5">
        <v>1426870.61</v>
      </c>
      <c r="G49" s="16">
        <f>-G48</f>
        <v>-459679</v>
      </c>
      <c r="H49" s="54">
        <f t="shared" si="0"/>
        <v>967191.6100000001</v>
      </c>
      <c r="I49" t="str">
        <f t="shared" si="1"/>
        <v>Plant, Equipment &amp; Boats</v>
      </c>
      <c r="J49" t="s">
        <v>1120</v>
      </c>
      <c r="K49" t="str">
        <f t="shared" si="2"/>
        <v>Deposits: Rental</v>
      </c>
    </row>
    <row r="50" spans="2:11" x14ac:dyDescent="0.45">
      <c r="B50">
        <v>12500120</v>
      </c>
      <c r="C50" t="s">
        <v>1134</v>
      </c>
      <c r="F50" s="5">
        <v>-10764.280000000028</v>
      </c>
      <c r="G50" s="16">
        <f t="shared" ref="G50:G113" si="3">-G49</f>
        <v>459679</v>
      </c>
      <c r="H50" s="54">
        <f t="shared" si="0"/>
        <v>448914.72</v>
      </c>
      <c r="I50" t="str">
        <f t="shared" si="1"/>
        <v>Accum Deprn: Plant, Equipment &amp; Boats</v>
      </c>
      <c r="J50" t="s">
        <v>1121</v>
      </c>
      <c r="K50" t="str">
        <f t="shared" si="2"/>
        <v>Deposits: Utilities</v>
      </c>
    </row>
    <row r="51" spans="2:11" x14ac:dyDescent="0.45">
      <c r="B51">
        <v>12500130</v>
      </c>
      <c r="C51" t="s">
        <v>1135</v>
      </c>
      <c r="F51" s="5">
        <v>-431541</v>
      </c>
      <c r="G51" s="16">
        <f t="shared" si="3"/>
        <v>-459679</v>
      </c>
      <c r="H51" s="54">
        <f t="shared" si="0"/>
        <v>-891220</v>
      </c>
      <c r="I51" t="str">
        <f t="shared" si="1"/>
        <v>Motor Vehicles</v>
      </c>
      <c r="J51" t="s">
        <v>1122</v>
      </c>
      <c r="K51" t="str">
        <f t="shared" si="2"/>
        <v>Deposits: Others</v>
      </c>
    </row>
    <row r="52" spans="2:11" x14ac:dyDescent="0.45">
      <c r="B52">
        <v>12500140</v>
      </c>
      <c r="C52" t="s">
        <v>1136</v>
      </c>
      <c r="F52" s="5">
        <v>443600.14</v>
      </c>
      <c r="G52" s="16">
        <f t="shared" si="3"/>
        <v>459679</v>
      </c>
      <c r="H52" s="54">
        <f t="shared" si="0"/>
        <v>903279.14</v>
      </c>
      <c r="I52" t="str">
        <f t="shared" si="1"/>
        <v>Accum Deprn: Motor Vehicles</v>
      </c>
      <c r="J52" t="s">
        <v>1390</v>
      </c>
      <c r="K52" t="e">
        <f t="shared" si="2"/>
        <v>#N/A</v>
      </c>
    </row>
    <row r="53" spans="2:11" x14ac:dyDescent="0.45">
      <c r="B53">
        <v>12600010</v>
      </c>
      <c r="C53" t="s">
        <v>1137</v>
      </c>
      <c r="F53" s="5">
        <v>17758321</v>
      </c>
      <c r="G53" s="16">
        <f t="shared" si="3"/>
        <v>-459679</v>
      </c>
      <c r="H53" s="54">
        <f t="shared" si="0"/>
        <v>17298642</v>
      </c>
      <c r="I53" t="str">
        <f t="shared" si="1"/>
        <v>Goodwill from Acquisitions</v>
      </c>
      <c r="J53" t="s">
        <v>1123</v>
      </c>
      <c r="K53" t="str">
        <f t="shared" si="2"/>
        <v>Recoverable: Interco</v>
      </c>
    </row>
    <row r="54" spans="2:11" x14ac:dyDescent="0.45">
      <c r="B54">
        <v>12600040</v>
      </c>
      <c r="C54" t="s">
        <v>1138</v>
      </c>
      <c r="F54" s="5">
        <v>31020679</v>
      </c>
      <c r="G54" s="16">
        <f t="shared" si="3"/>
        <v>459679</v>
      </c>
      <c r="H54" s="54">
        <f t="shared" si="0"/>
        <v>31480358</v>
      </c>
      <c r="I54" t="str">
        <f t="shared" si="1"/>
        <v>Trademarks And Licences</v>
      </c>
      <c r="J54" t="s">
        <v>1124</v>
      </c>
      <c r="K54" t="str">
        <f t="shared" si="2"/>
        <v>Recoverable: External</v>
      </c>
    </row>
    <row r="55" spans="2:11" x14ac:dyDescent="0.45">
      <c r="B55">
        <v>12600050</v>
      </c>
      <c r="C55" t="s">
        <v>1139</v>
      </c>
      <c r="F55" s="5">
        <v>-2282223.79</v>
      </c>
      <c r="G55" s="16">
        <f t="shared" si="3"/>
        <v>-459679</v>
      </c>
      <c r="H55" s="54">
        <f t="shared" si="0"/>
        <v>-2741902.79</v>
      </c>
      <c r="I55" t="str">
        <f t="shared" si="1"/>
        <v>Accum Amortn: Trademarks, Licences</v>
      </c>
      <c r="J55" t="s">
        <v>1420</v>
      </c>
      <c r="K55" t="e">
        <f t="shared" si="2"/>
        <v>#N/A</v>
      </c>
    </row>
    <row r="56" spans="2:11" x14ac:dyDescent="0.45">
      <c r="B56">
        <v>21100010</v>
      </c>
      <c r="C56" t="s">
        <v>1140</v>
      </c>
      <c r="F56" s="5">
        <v>-531092.53</v>
      </c>
      <c r="G56" s="16">
        <f t="shared" si="3"/>
        <v>459679</v>
      </c>
      <c r="H56" s="54">
        <f t="shared" si="0"/>
        <v>-71413.530000000028</v>
      </c>
      <c r="I56" t="str">
        <f t="shared" si="1"/>
        <v>Trade Payables Control: External</v>
      </c>
      <c r="J56" t="s">
        <v>1125</v>
      </c>
      <c r="K56" t="str">
        <f t="shared" si="2"/>
        <v>Invt In Subsidiaries</v>
      </c>
    </row>
    <row r="57" spans="2:11" x14ac:dyDescent="0.45">
      <c r="B57">
        <v>21100020</v>
      </c>
      <c r="C57" t="s">
        <v>1141</v>
      </c>
      <c r="F57" s="5">
        <v>-2187088.1100000003</v>
      </c>
      <c r="G57" s="16">
        <f t="shared" si="3"/>
        <v>-459679</v>
      </c>
      <c r="H57" s="54">
        <f t="shared" si="0"/>
        <v>-2646767.1100000003</v>
      </c>
      <c r="I57" t="str">
        <f t="shared" si="1"/>
        <v>Trade Payables Control: Interco</v>
      </c>
      <c r="J57" t="s">
        <v>1126</v>
      </c>
      <c r="K57" t="str">
        <f t="shared" si="2"/>
        <v>Construction In-Progress</v>
      </c>
    </row>
    <row r="58" spans="2:11" x14ac:dyDescent="0.45">
      <c r="B58">
        <v>21100030</v>
      </c>
      <c r="C58" t="s">
        <v>1142</v>
      </c>
      <c r="F58" s="5">
        <v>-711917.55</v>
      </c>
      <c r="G58" s="16">
        <f t="shared" si="3"/>
        <v>459679</v>
      </c>
      <c r="H58" s="54">
        <f t="shared" si="0"/>
        <v>-252238.55000000005</v>
      </c>
      <c r="I58" t="str">
        <f t="shared" si="1"/>
        <v>GR IR Clearing</v>
      </c>
      <c r="J58" t="s">
        <v>1127</v>
      </c>
      <c r="K58" t="str">
        <f t="shared" si="2"/>
        <v>Leasehold Improvements</v>
      </c>
    </row>
    <row r="59" spans="2:11" x14ac:dyDescent="0.45">
      <c r="B59">
        <v>21100050</v>
      </c>
      <c r="C59" t="s">
        <v>1143</v>
      </c>
      <c r="F59" s="5">
        <v>-459564.91</v>
      </c>
      <c r="G59" s="16">
        <f t="shared" si="3"/>
        <v>-459679</v>
      </c>
      <c r="H59" s="54">
        <f t="shared" si="0"/>
        <v>-919243.90999999992</v>
      </c>
      <c r="I59" t="str">
        <f t="shared" si="1"/>
        <v>Translation: Trade Payables: External</v>
      </c>
      <c r="J59" t="s">
        <v>1128</v>
      </c>
      <c r="K59" t="str">
        <f t="shared" si="2"/>
        <v>Accum Deprn: Leasehold Improvements</v>
      </c>
    </row>
    <row r="60" spans="2:11" x14ac:dyDescent="0.45">
      <c r="B60">
        <v>21200010</v>
      </c>
      <c r="C60" t="s">
        <v>1144</v>
      </c>
      <c r="F60" s="5">
        <v>237741.28</v>
      </c>
      <c r="G60" s="16">
        <f t="shared" si="3"/>
        <v>459679</v>
      </c>
      <c r="H60" s="54">
        <f t="shared" si="0"/>
        <v>697420.28</v>
      </c>
      <c r="I60" t="str">
        <f t="shared" si="1"/>
        <v>Non-Trade Payables Control: External</v>
      </c>
      <c r="J60" t="s">
        <v>1129</v>
      </c>
      <c r="K60" t="str">
        <f t="shared" si="2"/>
        <v>Office Furn &amp; Fittings</v>
      </c>
    </row>
    <row r="61" spans="2:11" x14ac:dyDescent="0.45">
      <c r="B61">
        <v>21200020</v>
      </c>
      <c r="C61" t="s">
        <v>1557</v>
      </c>
      <c r="F61" s="5">
        <v>-463464.65</v>
      </c>
      <c r="G61" s="16">
        <f t="shared" si="3"/>
        <v>-459679</v>
      </c>
      <c r="H61" s="54">
        <f t="shared" si="0"/>
        <v>-923143.65</v>
      </c>
      <c r="I61" t="str">
        <f t="shared" si="1"/>
        <v>Non-Trade Payables Control: Interco</v>
      </c>
      <c r="J61" t="s">
        <v>1130</v>
      </c>
      <c r="K61" t="str">
        <f t="shared" si="2"/>
        <v>Accum Deprn: Office Furn &amp; Fittings</v>
      </c>
    </row>
    <row r="62" spans="2:11" x14ac:dyDescent="0.45">
      <c r="B62">
        <v>21200030</v>
      </c>
      <c r="C62" t="s">
        <v>1145</v>
      </c>
      <c r="F62" s="5">
        <v>459305.93</v>
      </c>
      <c r="G62" s="16">
        <f t="shared" si="3"/>
        <v>459679</v>
      </c>
      <c r="H62" s="54">
        <f t="shared" si="0"/>
        <v>918984.92999999993</v>
      </c>
      <c r="I62" t="str">
        <f t="shared" si="1"/>
        <v>Translation: Non-Trade Payables Externa</v>
      </c>
      <c r="J62" t="s">
        <v>1131</v>
      </c>
      <c r="K62" t="str">
        <f t="shared" si="2"/>
        <v>Office Equipment</v>
      </c>
    </row>
    <row r="63" spans="2:11" x14ac:dyDescent="0.45">
      <c r="B63">
        <v>21200050</v>
      </c>
      <c r="C63" t="s">
        <v>1146</v>
      </c>
      <c r="F63" s="5">
        <v>-2695702.44</v>
      </c>
      <c r="G63" s="16">
        <f t="shared" si="3"/>
        <v>-459679</v>
      </c>
      <c r="H63" s="54">
        <f t="shared" si="0"/>
        <v>-3155381.44</v>
      </c>
      <c r="I63" t="str">
        <f t="shared" si="1"/>
        <v>Accruals: Non-Trade</v>
      </c>
      <c r="J63" t="s">
        <v>1132</v>
      </c>
      <c r="K63" t="str">
        <f t="shared" si="2"/>
        <v>Accum Deprn: Office Equipment</v>
      </c>
    </row>
    <row r="64" spans="2:11" x14ac:dyDescent="0.45">
      <c r="B64">
        <v>21200100</v>
      </c>
      <c r="C64" t="s">
        <v>1147</v>
      </c>
      <c r="F64" s="5">
        <v>317722.79000000004</v>
      </c>
      <c r="G64" s="16">
        <f t="shared" si="3"/>
        <v>459679</v>
      </c>
      <c r="H64" s="54">
        <f t="shared" si="0"/>
        <v>777401.79</v>
      </c>
      <c r="I64" t="str">
        <f t="shared" si="1"/>
        <v>Deposits Received: Others</v>
      </c>
      <c r="J64" t="s">
        <v>1133</v>
      </c>
      <c r="K64" t="str">
        <f t="shared" si="2"/>
        <v>Plant, Equipment &amp; Boats</v>
      </c>
    </row>
    <row r="65" spans="2:11" x14ac:dyDescent="0.45">
      <c r="B65">
        <v>21200150</v>
      </c>
      <c r="C65" t="s">
        <v>1148</v>
      </c>
      <c r="F65" s="5">
        <v>-1750548.66</v>
      </c>
      <c r="G65" s="16">
        <f t="shared" si="3"/>
        <v>-459679</v>
      </c>
      <c r="H65" s="54">
        <f t="shared" si="0"/>
        <v>-2210227.66</v>
      </c>
      <c r="I65" t="str">
        <f t="shared" si="1"/>
        <v>Output GST Payable</v>
      </c>
      <c r="J65" t="s">
        <v>1134</v>
      </c>
      <c r="K65" t="str">
        <f t="shared" si="2"/>
        <v>Accum Deprn: Plant, Equipment &amp; Boats</v>
      </c>
    </row>
    <row r="66" spans="2:11" x14ac:dyDescent="0.45">
      <c r="B66">
        <v>21200170</v>
      </c>
      <c r="C66" t="s">
        <v>1149</v>
      </c>
      <c r="F66" s="5">
        <v>455666.32</v>
      </c>
      <c r="G66" s="16">
        <f t="shared" si="3"/>
        <v>459679</v>
      </c>
      <c r="H66" s="54">
        <f t="shared" si="0"/>
        <v>915345.32000000007</v>
      </c>
      <c r="I66" t="str">
        <f t="shared" si="1"/>
        <v>Other Payables</v>
      </c>
      <c r="J66" t="s">
        <v>1135</v>
      </c>
      <c r="K66" t="str">
        <f t="shared" si="2"/>
        <v>Motor Vehicles</v>
      </c>
    </row>
    <row r="67" spans="2:11" x14ac:dyDescent="0.45">
      <c r="B67">
        <v>21200180</v>
      </c>
      <c r="C67" t="s">
        <v>1150</v>
      </c>
      <c r="F67" s="5">
        <v>-683705.42999999993</v>
      </c>
      <c r="G67" s="16">
        <f t="shared" si="3"/>
        <v>-459679</v>
      </c>
      <c r="H67" s="54">
        <f t="shared" si="0"/>
        <v>-1143384.43</v>
      </c>
      <c r="I67" t="str">
        <f t="shared" si="1"/>
        <v>Provn For Deferred Income</v>
      </c>
      <c r="J67" t="s">
        <v>1136</v>
      </c>
      <c r="K67" t="str">
        <f t="shared" si="2"/>
        <v>Accum Deprn: Motor Vehicles</v>
      </c>
    </row>
    <row r="68" spans="2:11" x14ac:dyDescent="0.45">
      <c r="B68">
        <v>21200190</v>
      </c>
      <c r="C68" t="s">
        <v>1151</v>
      </c>
      <c r="F68" s="5">
        <v>-1884006.98</v>
      </c>
      <c r="G68" s="16">
        <f t="shared" si="3"/>
        <v>459679</v>
      </c>
      <c r="H68" s="54">
        <f t="shared" si="0"/>
        <v>-1424327.98</v>
      </c>
      <c r="I68" t="str">
        <f t="shared" si="1"/>
        <v>Provn For Outlet Reinstatement Cost</v>
      </c>
      <c r="J68" t="s">
        <v>1398</v>
      </c>
      <c r="K68" t="e">
        <f t="shared" si="2"/>
        <v>#N/A</v>
      </c>
    </row>
    <row r="69" spans="2:11" x14ac:dyDescent="0.45">
      <c r="B69">
        <v>21200200</v>
      </c>
      <c r="C69" t="s">
        <v>1152</v>
      </c>
      <c r="F69" s="5">
        <v>-710003.31</v>
      </c>
      <c r="G69" s="16">
        <f t="shared" si="3"/>
        <v>-459679</v>
      </c>
      <c r="H69" s="54">
        <f t="shared" si="0"/>
        <v>-1169682.31</v>
      </c>
      <c r="I69" t="str">
        <f t="shared" si="1"/>
        <v>Provn For Unutilised Leave</v>
      </c>
      <c r="J69" t="s">
        <v>1399</v>
      </c>
      <c r="K69" t="e">
        <f t="shared" si="2"/>
        <v>#N/A</v>
      </c>
    </row>
    <row r="70" spans="2:11" x14ac:dyDescent="0.45">
      <c r="B70">
        <v>22100010</v>
      </c>
      <c r="C70" t="s">
        <v>1153</v>
      </c>
      <c r="F70" s="5">
        <v>-5315321</v>
      </c>
      <c r="G70" s="16">
        <f t="shared" si="3"/>
        <v>459679</v>
      </c>
      <c r="H70" s="54">
        <f t="shared" si="0"/>
        <v>-4855642</v>
      </c>
      <c r="I70" t="str">
        <f t="shared" si="1"/>
        <v>Bank: Term Loans</v>
      </c>
      <c r="J70" t="s">
        <v>1400</v>
      </c>
      <c r="K70" t="e">
        <f t="shared" si="2"/>
        <v>#N/A</v>
      </c>
    </row>
    <row r="71" spans="2:11" x14ac:dyDescent="0.45">
      <c r="B71">
        <v>22100020</v>
      </c>
      <c r="C71" t="s">
        <v>1154</v>
      </c>
      <c r="F71" s="5">
        <v>-1959679</v>
      </c>
      <c r="G71" s="16">
        <f t="shared" si="3"/>
        <v>-459679</v>
      </c>
      <c r="H71" s="54">
        <f t="shared" ref="H71:H134" si="4">SUM(F71:G71)</f>
        <v>-2419358</v>
      </c>
      <c r="I71" t="str">
        <f t="shared" ref="I71:I134" si="5">VLOOKUP(C71,$J$6:$J$351,1,FALSE)</f>
        <v>Bank: MML</v>
      </c>
      <c r="J71" t="s">
        <v>1401</v>
      </c>
      <c r="K71" t="e">
        <f t="shared" ref="K71:K134" si="6">VLOOKUP(J71,$C$6:$C$242,1,FALSE)</f>
        <v>#N/A</v>
      </c>
    </row>
    <row r="72" spans="2:11" x14ac:dyDescent="0.45">
      <c r="B72">
        <v>22100040</v>
      </c>
      <c r="C72" t="s">
        <v>1155</v>
      </c>
      <c r="F72" s="5">
        <v>-3331089.7</v>
      </c>
      <c r="G72" s="16">
        <f t="shared" si="3"/>
        <v>459679</v>
      </c>
      <c r="H72" s="54">
        <f t="shared" si="4"/>
        <v>-2871410.7</v>
      </c>
      <c r="I72" t="str">
        <f t="shared" si="5"/>
        <v>Bank: Trust Receipts</v>
      </c>
      <c r="J72" t="s">
        <v>1402</v>
      </c>
      <c r="K72" t="e">
        <f t="shared" si="6"/>
        <v>#N/A</v>
      </c>
    </row>
    <row r="73" spans="2:11" x14ac:dyDescent="0.45">
      <c r="B73">
        <v>22100100</v>
      </c>
      <c r="C73" t="s">
        <v>1156</v>
      </c>
      <c r="F73" s="5">
        <v>-459679</v>
      </c>
      <c r="G73" s="16">
        <f t="shared" si="3"/>
        <v>-459679</v>
      </c>
      <c r="H73" s="54">
        <f t="shared" si="4"/>
        <v>-919358</v>
      </c>
      <c r="I73" t="str">
        <f t="shared" si="5"/>
        <v>Shareholder Loans</v>
      </c>
      <c r="J73" t="s">
        <v>1403</v>
      </c>
      <c r="K73" t="e">
        <f t="shared" si="6"/>
        <v>#N/A</v>
      </c>
    </row>
    <row r="74" spans="2:11" x14ac:dyDescent="0.45">
      <c r="B74">
        <v>22220010</v>
      </c>
      <c r="C74" t="s">
        <v>1157</v>
      </c>
      <c r="F74" s="5">
        <v>-4735321</v>
      </c>
      <c r="G74" s="16">
        <f t="shared" si="3"/>
        <v>459679</v>
      </c>
      <c r="H74" s="54">
        <f t="shared" si="4"/>
        <v>-4275642</v>
      </c>
      <c r="I74" t="str">
        <f t="shared" si="5"/>
        <v>Deferred Income Tax Liabilities</v>
      </c>
      <c r="J74" t="s">
        <v>1386</v>
      </c>
      <c r="K74" t="e">
        <f t="shared" si="6"/>
        <v>#N/A</v>
      </c>
    </row>
    <row r="75" spans="2:11" x14ac:dyDescent="0.45">
      <c r="B75">
        <v>31000010</v>
      </c>
      <c r="C75" t="s">
        <v>1158</v>
      </c>
      <c r="F75" s="5">
        <v>-64463796</v>
      </c>
      <c r="G75" s="16">
        <f t="shared" si="3"/>
        <v>-459679</v>
      </c>
      <c r="H75" s="54">
        <f t="shared" si="4"/>
        <v>-64923475</v>
      </c>
      <c r="I75" t="str">
        <f t="shared" si="5"/>
        <v>Ordinary Share Capital</v>
      </c>
      <c r="J75" t="s">
        <v>1404</v>
      </c>
      <c r="K75" t="e">
        <f t="shared" si="6"/>
        <v>#N/A</v>
      </c>
    </row>
    <row r="76" spans="2:11" x14ac:dyDescent="0.45">
      <c r="B76">
        <v>31000020</v>
      </c>
      <c r="C76" t="s">
        <v>1558</v>
      </c>
      <c r="F76" s="5">
        <v>-3300334.7</v>
      </c>
      <c r="G76" s="16">
        <f t="shared" si="3"/>
        <v>459679</v>
      </c>
      <c r="H76" s="54">
        <f t="shared" si="4"/>
        <v>-2840655.7</v>
      </c>
      <c r="I76" t="str">
        <f t="shared" si="5"/>
        <v>Preference Share Capital</v>
      </c>
      <c r="J76" t="s">
        <v>1405</v>
      </c>
      <c r="K76" t="e">
        <f t="shared" si="6"/>
        <v>#N/A</v>
      </c>
    </row>
    <row r="77" spans="2:11" x14ac:dyDescent="0.45">
      <c r="B77">
        <v>32000010</v>
      </c>
      <c r="C77" t="s">
        <v>1159</v>
      </c>
      <c r="F77" s="5">
        <v>-398892.08</v>
      </c>
      <c r="G77" s="16">
        <f t="shared" si="3"/>
        <v>-459679</v>
      </c>
      <c r="H77" s="54">
        <f t="shared" si="4"/>
        <v>-858571.08000000007</v>
      </c>
      <c r="I77" t="str">
        <f t="shared" si="5"/>
        <v>Beginning Retained Earnings</v>
      </c>
      <c r="J77" t="s">
        <v>1406</v>
      </c>
      <c r="K77" t="e">
        <f t="shared" si="6"/>
        <v>#N/A</v>
      </c>
    </row>
    <row r="78" spans="2:11" x14ac:dyDescent="0.45">
      <c r="B78">
        <v>41000010</v>
      </c>
      <c r="C78" t="s">
        <v>1160</v>
      </c>
      <c r="F78" s="5">
        <v>-50990244.979999997</v>
      </c>
      <c r="G78" s="16">
        <f t="shared" si="3"/>
        <v>459679</v>
      </c>
      <c r="H78" s="54">
        <f t="shared" si="4"/>
        <v>-50530565.979999997</v>
      </c>
      <c r="I78" t="str">
        <f t="shared" si="5"/>
        <v>Sales: Food</v>
      </c>
      <c r="J78" t="s">
        <v>1407</v>
      </c>
      <c r="K78" t="e">
        <f t="shared" si="6"/>
        <v>#N/A</v>
      </c>
    </row>
    <row r="79" spans="2:11" x14ac:dyDescent="0.45">
      <c r="B79">
        <v>41000030</v>
      </c>
      <c r="C79" t="s">
        <v>1161</v>
      </c>
      <c r="F79" s="5">
        <v>-464690.66</v>
      </c>
      <c r="G79" s="16">
        <f t="shared" si="3"/>
        <v>-459679</v>
      </c>
      <c r="H79" s="54">
        <f t="shared" si="4"/>
        <v>-924369.65999999992</v>
      </c>
      <c r="I79" t="str">
        <f t="shared" si="5"/>
        <v>Sales: Delivery</v>
      </c>
      <c r="J79" t="s">
        <v>1408</v>
      </c>
      <c r="K79" t="e">
        <f t="shared" si="6"/>
        <v>#N/A</v>
      </c>
    </row>
    <row r="80" spans="2:11" x14ac:dyDescent="0.45">
      <c r="B80">
        <v>41000050</v>
      </c>
      <c r="C80" t="s">
        <v>1162</v>
      </c>
      <c r="F80" s="5">
        <v>-140126.64000000001</v>
      </c>
      <c r="G80" s="16">
        <f t="shared" si="3"/>
        <v>459679</v>
      </c>
      <c r="H80" s="54">
        <f t="shared" si="4"/>
        <v>319552.36</v>
      </c>
      <c r="I80" t="str">
        <f t="shared" si="5"/>
        <v>Sales: Merchandise</v>
      </c>
      <c r="J80" t="s">
        <v>1409</v>
      </c>
      <c r="K80" t="e">
        <f t="shared" si="6"/>
        <v>#N/A</v>
      </c>
    </row>
    <row r="81" spans="2:11" x14ac:dyDescent="0.45">
      <c r="B81">
        <v>41000070</v>
      </c>
      <c r="C81" t="s">
        <v>1163</v>
      </c>
      <c r="F81" s="5">
        <v>-624973.28</v>
      </c>
      <c r="G81" s="16">
        <f t="shared" si="3"/>
        <v>-459679</v>
      </c>
      <c r="H81" s="54">
        <f t="shared" si="4"/>
        <v>-1084652.28</v>
      </c>
      <c r="I81" t="str">
        <f t="shared" si="5"/>
        <v>Sales: Franchise Supplies</v>
      </c>
      <c r="J81" t="s">
        <v>1410</v>
      </c>
      <c r="K81" t="e">
        <f t="shared" si="6"/>
        <v>#N/A</v>
      </c>
    </row>
    <row r="82" spans="2:11" x14ac:dyDescent="0.45">
      <c r="B82">
        <v>41000080</v>
      </c>
      <c r="C82" t="s">
        <v>1164</v>
      </c>
      <c r="F82" s="5">
        <v>-2846538.09</v>
      </c>
      <c r="G82" s="16">
        <f t="shared" si="3"/>
        <v>459679</v>
      </c>
      <c r="H82" s="54">
        <f t="shared" si="4"/>
        <v>-2386859.09</v>
      </c>
      <c r="I82" t="str">
        <f t="shared" si="5"/>
        <v>Sales: Beverages</v>
      </c>
      <c r="J82" t="s">
        <v>1411</v>
      </c>
      <c r="K82" t="e">
        <f t="shared" si="6"/>
        <v>#N/A</v>
      </c>
    </row>
    <row r="83" spans="2:11" x14ac:dyDescent="0.45">
      <c r="B83">
        <v>41000090</v>
      </c>
      <c r="C83" t="s">
        <v>1165</v>
      </c>
      <c r="F83" s="5">
        <v>-807142.97</v>
      </c>
      <c r="G83" s="16">
        <f t="shared" si="3"/>
        <v>-459679</v>
      </c>
      <c r="H83" s="54">
        <f t="shared" si="4"/>
        <v>-1266821.97</v>
      </c>
      <c r="I83" t="str">
        <f t="shared" si="5"/>
        <v>Sales: Online</v>
      </c>
      <c r="J83" t="s">
        <v>1412</v>
      </c>
      <c r="K83" t="e">
        <f t="shared" si="6"/>
        <v>#N/A</v>
      </c>
    </row>
    <row r="84" spans="2:11" x14ac:dyDescent="0.45">
      <c r="B84">
        <v>41000100</v>
      </c>
      <c r="C84" t="s">
        <v>1166</v>
      </c>
      <c r="F84" s="5">
        <v>-1996562.4500000002</v>
      </c>
      <c r="G84" s="16">
        <f t="shared" si="3"/>
        <v>459679</v>
      </c>
      <c r="H84" s="54">
        <f t="shared" si="4"/>
        <v>-1536883.4500000002</v>
      </c>
      <c r="I84" t="str">
        <f t="shared" si="5"/>
        <v>Sales: Alcohol</v>
      </c>
      <c r="J84" t="s">
        <v>1421</v>
      </c>
      <c r="K84" t="e">
        <f t="shared" si="6"/>
        <v>#N/A</v>
      </c>
    </row>
    <row r="85" spans="2:11" x14ac:dyDescent="0.45">
      <c r="B85">
        <v>41000110</v>
      </c>
      <c r="C85" t="s">
        <v>1167</v>
      </c>
      <c r="F85" s="5">
        <v>-2606329.38</v>
      </c>
      <c r="G85" s="16">
        <f t="shared" si="3"/>
        <v>-459679</v>
      </c>
      <c r="H85" s="54">
        <f t="shared" si="4"/>
        <v>-3066008.38</v>
      </c>
      <c r="I85" t="str">
        <f t="shared" si="5"/>
        <v>Sales: Service Charge</v>
      </c>
      <c r="J85" t="s">
        <v>1137</v>
      </c>
      <c r="K85" t="str">
        <f t="shared" si="6"/>
        <v>Goodwill from Acquisitions</v>
      </c>
    </row>
    <row r="86" spans="2:11" x14ac:dyDescent="0.45">
      <c r="B86">
        <v>42000010</v>
      </c>
      <c r="C86" t="s">
        <v>1168</v>
      </c>
      <c r="F86" s="5">
        <v>-7462052.1500000004</v>
      </c>
      <c r="G86" s="16">
        <f t="shared" si="3"/>
        <v>459679</v>
      </c>
      <c r="H86" s="54">
        <f t="shared" si="4"/>
        <v>-7002373.1500000004</v>
      </c>
      <c r="I86" t="str">
        <f t="shared" si="5"/>
        <v>Sales: Goods</v>
      </c>
      <c r="J86" t="s">
        <v>1138</v>
      </c>
      <c r="K86" t="str">
        <f t="shared" si="6"/>
        <v>Trademarks And Licences</v>
      </c>
    </row>
    <row r="87" spans="2:11" x14ac:dyDescent="0.45">
      <c r="B87">
        <v>45000010</v>
      </c>
      <c r="C87" t="s">
        <v>1169</v>
      </c>
      <c r="F87" s="5">
        <v>-527698.06000000006</v>
      </c>
      <c r="G87" s="16">
        <f t="shared" si="3"/>
        <v>-459679</v>
      </c>
      <c r="H87" s="54">
        <f t="shared" si="4"/>
        <v>-987377.06</v>
      </c>
      <c r="I87" t="str">
        <f t="shared" si="5"/>
        <v>Sales: Miscellaneous</v>
      </c>
      <c r="J87" t="s">
        <v>1139</v>
      </c>
      <c r="K87" t="str">
        <f t="shared" si="6"/>
        <v>Accum Amortn: Trademarks, Licences</v>
      </c>
    </row>
    <row r="88" spans="2:11" x14ac:dyDescent="0.45">
      <c r="B88">
        <v>45000030</v>
      </c>
      <c r="C88" t="s">
        <v>1170</v>
      </c>
      <c r="F88" s="5">
        <v>4024079.65</v>
      </c>
      <c r="G88" s="16">
        <f t="shared" si="3"/>
        <v>459679</v>
      </c>
      <c r="H88" s="54">
        <f t="shared" si="4"/>
        <v>4483758.6500000004</v>
      </c>
      <c r="I88" t="str">
        <f t="shared" si="5"/>
        <v>Sales Discounts &amp; Rebates</v>
      </c>
      <c r="J88" t="s">
        <v>1140</v>
      </c>
      <c r="K88" t="str">
        <f t="shared" si="6"/>
        <v>Trade Payables Control: External</v>
      </c>
    </row>
    <row r="89" spans="2:11" x14ac:dyDescent="0.45">
      <c r="B89">
        <v>51000010</v>
      </c>
      <c r="C89" t="s">
        <v>1171</v>
      </c>
      <c r="F89" s="5">
        <v>3886.7700000000186</v>
      </c>
      <c r="G89" s="16">
        <f t="shared" si="3"/>
        <v>-459679</v>
      </c>
      <c r="H89" s="54">
        <f t="shared" si="4"/>
        <v>-455792.23</v>
      </c>
      <c r="I89" t="str">
        <f t="shared" si="5"/>
        <v>COGS: Food</v>
      </c>
      <c r="J89" t="s">
        <v>1141</v>
      </c>
      <c r="K89" t="str">
        <f t="shared" si="6"/>
        <v>Trade Payables Control: Interco</v>
      </c>
    </row>
    <row r="90" spans="2:11" x14ac:dyDescent="0.45">
      <c r="B90">
        <v>51000040</v>
      </c>
      <c r="C90" t="s">
        <v>1172</v>
      </c>
      <c r="F90" s="5">
        <v>596950.86</v>
      </c>
      <c r="G90" s="16">
        <f t="shared" si="3"/>
        <v>459679</v>
      </c>
      <c r="H90" s="54">
        <f t="shared" si="4"/>
        <v>1056629.8599999999</v>
      </c>
      <c r="I90" t="str">
        <f t="shared" si="5"/>
        <v>COGS: Promotions</v>
      </c>
      <c r="J90" t="s">
        <v>1142</v>
      </c>
      <c r="K90" t="str">
        <f t="shared" si="6"/>
        <v>GR IR Clearing</v>
      </c>
    </row>
    <row r="91" spans="2:11" x14ac:dyDescent="0.45">
      <c r="B91">
        <v>51000050</v>
      </c>
      <c r="C91" t="s">
        <v>1173</v>
      </c>
      <c r="F91" s="5">
        <v>-459570.65</v>
      </c>
      <c r="G91" s="16">
        <f t="shared" si="3"/>
        <v>-459679</v>
      </c>
      <c r="H91" s="54">
        <f t="shared" si="4"/>
        <v>-919249.65</v>
      </c>
      <c r="I91" t="str">
        <f t="shared" si="5"/>
        <v>COGS: Entertainment</v>
      </c>
      <c r="J91" t="s">
        <v>1143</v>
      </c>
      <c r="K91" t="str">
        <f t="shared" si="6"/>
        <v>Translation: Trade Payables: External</v>
      </c>
    </row>
    <row r="92" spans="2:11" x14ac:dyDescent="0.45">
      <c r="B92">
        <v>51000060</v>
      </c>
      <c r="C92" t="s">
        <v>1174</v>
      </c>
      <c r="F92" s="5">
        <v>742012</v>
      </c>
      <c r="G92" s="16">
        <f t="shared" si="3"/>
        <v>459679</v>
      </c>
      <c r="H92" s="54">
        <f t="shared" si="4"/>
        <v>1201691</v>
      </c>
      <c r="I92" t="str">
        <f t="shared" si="5"/>
        <v>COGS: Staff Meals</v>
      </c>
      <c r="J92" t="s">
        <v>1144</v>
      </c>
      <c r="K92" t="str">
        <f t="shared" si="6"/>
        <v>Non-Trade Payables Control: External</v>
      </c>
    </row>
    <row r="93" spans="2:11" x14ac:dyDescent="0.45">
      <c r="B93">
        <v>51000070</v>
      </c>
      <c r="C93" t="s">
        <v>1175</v>
      </c>
      <c r="F93" s="5">
        <v>493742.82999999996</v>
      </c>
      <c r="G93" s="16">
        <f t="shared" si="3"/>
        <v>-459679</v>
      </c>
      <c r="H93" s="54">
        <f t="shared" si="4"/>
        <v>34063.829999999958</v>
      </c>
      <c r="I93" t="str">
        <f t="shared" si="5"/>
        <v>COGS: Wastage</v>
      </c>
      <c r="J93" t="s">
        <v>1557</v>
      </c>
      <c r="K93" t="str">
        <f t="shared" si="6"/>
        <v>Non-Trade Payables Control: Interco</v>
      </c>
    </row>
    <row r="94" spans="2:11" x14ac:dyDescent="0.45">
      <c r="B94">
        <v>51000071</v>
      </c>
      <c r="C94" t="s">
        <v>1176</v>
      </c>
      <c r="F94" s="5">
        <v>469649.65</v>
      </c>
      <c r="G94" s="16">
        <f t="shared" si="3"/>
        <v>459679</v>
      </c>
      <c r="H94" s="54">
        <f t="shared" si="4"/>
        <v>929328.65</v>
      </c>
      <c r="I94" t="str">
        <f t="shared" si="5"/>
        <v>COGS: Wastage - Beverages</v>
      </c>
      <c r="J94" t="s">
        <v>1145</v>
      </c>
      <c r="K94" t="str">
        <f t="shared" si="6"/>
        <v>Translation: Non-Trade Payables Externa</v>
      </c>
    </row>
    <row r="95" spans="2:11" x14ac:dyDescent="0.45">
      <c r="B95">
        <v>51000072</v>
      </c>
      <c r="C95" t="s">
        <v>1177</v>
      </c>
      <c r="F95" s="5">
        <v>-450028.83</v>
      </c>
      <c r="G95" s="16">
        <f t="shared" si="3"/>
        <v>-459679</v>
      </c>
      <c r="H95" s="54">
        <f t="shared" si="4"/>
        <v>-909707.83000000007</v>
      </c>
      <c r="I95" t="str">
        <f t="shared" si="5"/>
        <v>COGS: Wastage - Alcohol</v>
      </c>
      <c r="J95" t="s">
        <v>1393</v>
      </c>
      <c r="K95" t="e">
        <f t="shared" si="6"/>
        <v>#N/A</v>
      </c>
    </row>
    <row r="96" spans="2:11" x14ac:dyDescent="0.45">
      <c r="B96">
        <v>51000090</v>
      </c>
      <c r="C96" t="s">
        <v>1178</v>
      </c>
      <c r="F96" s="5">
        <v>558300.63</v>
      </c>
      <c r="G96" s="16">
        <f t="shared" si="3"/>
        <v>459679</v>
      </c>
      <c r="H96" s="54">
        <f t="shared" si="4"/>
        <v>1017979.63</v>
      </c>
      <c r="I96" t="str">
        <f t="shared" si="5"/>
        <v>COGS: Pkg &amp; Consumables</v>
      </c>
      <c r="J96" t="s">
        <v>1146</v>
      </c>
      <c r="K96" t="str">
        <f t="shared" si="6"/>
        <v>Accruals: Non-Trade</v>
      </c>
    </row>
    <row r="97" spans="2:11" x14ac:dyDescent="0.45">
      <c r="B97">
        <v>51000100</v>
      </c>
      <c r="C97" t="s">
        <v>1179</v>
      </c>
      <c r="F97" s="5">
        <v>-374297.07</v>
      </c>
      <c r="G97" s="16">
        <f t="shared" si="3"/>
        <v>-459679</v>
      </c>
      <c r="H97" s="54">
        <f t="shared" si="4"/>
        <v>-833976.07000000007</v>
      </c>
      <c r="I97" t="str">
        <f t="shared" si="5"/>
        <v>COGS: Raw Materials</v>
      </c>
      <c r="J97" t="s">
        <v>1394</v>
      </c>
      <c r="K97" t="e">
        <f t="shared" si="6"/>
        <v>#N/A</v>
      </c>
    </row>
    <row r="98" spans="2:11" x14ac:dyDescent="0.45">
      <c r="B98">
        <v>51000110</v>
      </c>
      <c r="C98" t="s">
        <v>1180</v>
      </c>
      <c r="F98" s="5">
        <v>4916165.47</v>
      </c>
      <c r="G98" s="16">
        <f t="shared" si="3"/>
        <v>459679</v>
      </c>
      <c r="H98" s="54">
        <f t="shared" si="4"/>
        <v>5375844.4699999997</v>
      </c>
      <c r="I98" t="str">
        <f t="shared" si="5"/>
        <v>COGS: Stocktake Variance FGI</v>
      </c>
      <c r="J98" t="s">
        <v>1423</v>
      </c>
      <c r="K98" t="e">
        <f t="shared" si="6"/>
        <v>#N/A</v>
      </c>
    </row>
    <row r="99" spans="2:11" x14ac:dyDescent="0.45">
      <c r="B99">
        <v>51000120</v>
      </c>
      <c r="C99" t="s">
        <v>1181</v>
      </c>
      <c r="F99" s="5">
        <v>13247299.460000001</v>
      </c>
      <c r="G99" s="16">
        <f t="shared" si="3"/>
        <v>-459679</v>
      </c>
      <c r="H99" s="54">
        <f t="shared" si="4"/>
        <v>12787620.460000001</v>
      </c>
      <c r="I99" t="str">
        <f t="shared" si="5"/>
        <v>COGS: Stocktake Variance Raw Materials</v>
      </c>
      <c r="J99" t="s">
        <v>1427</v>
      </c>
      <c r="K99" t="e">
        <f t="shared" si="6"/>
        <v>#N/A</v>
      </c>
    </row>
    <row r="100" spans="2:11" x14ac:dyDescent="0.45">
      <c r="B100">
        <v>51000121</v>
      </c>
      <c r="C100" t="s">
        <v>1181</v>
      </c>
      <c r="F100" s="5">
        <v>800180.54</v>
      </c>
      <c r="G100" s="16">
        <f t="shared" si="3"/>
        <v>459679</v>
      </c>
      <c r="H100" s="54">
        <f t="shared" si="4"/>
        <v>1259859.54</v>
      </c>
      <c r="I100" t="str">
        <f t="shared" si="5"/>
        <v>COGS: Stocktake Variance Raw Materials</v>
      </c>
      <c r="J100" t="s">
        <v>1397</v>
      </c>
      <c r="K100" t="e">
        <f t="shared" si="6"/>
        <v>#N/A</v>
      </c>
    </row>
    <row r="101" spans="2:11" x14ac:dyDescent="0.45">
      <c r="B101">
        <v>51000122</v>
      </c>
      <c r="C101" t="s">
        <v>1181</v>
      </c>
      <c r="F101" s="5">
        <v>365541.69999999995</v>
      </c>
      <c r="G101" s="16">
        <f t="shared" si="3"/>
        <v>-459679</v>
      </c>
      <c r="H101" s="54">
        <f t="shared" si="4"/>
        <v>-94137.300000000047</v>
      </c>
      <c r="I101" t="str">
        <f t="shared" si="5"/>
        <v>COGS: Stocktake Variance Raw Materials</v>
      </c>
      <c r="J101" t="s">
        <v>1147</v>
      </c>
      <c r="K101" t="str">
        <f t="shared" si="6"/>
        <v>Deposits Received: Others</v>
      </c>
    </row>
    <row r="102" spans="2:11" x14ac:dyDescent="0.45">
      <c r="B102">
        <v>51000125</v>
      </c>
      <c r="C102" t="s">
        <v>1182</v>
      </c>
      <c r="F102" s="5">
        <v>1540841.07</v>
      </c>
      <c r="G102" s="16">
        <f t="shared" si="3"/>
        <v>459679</v>
      </c>
      <c r="H102" s="54">
        <f t="shared" si="4"/>
        <v>2000520.07</v>
      </c>
      <c r="I102" t="str">
        <f t="shared" si="5"/>
        <v>COGS: Stocktake Variance Pkg &amp; Consumab</v>
      </c>
      <c r="J102" t="s">
        <v>1424</v>
      </c>
      <c r="K102" t="e">
        <f t="shared" si="6"/>
        <v>#N/A</v>
      </c>
    </row>
    <row r="103" spans="2:11" x14ac:dyDescent="0.45">
      <c r="B103">
        <v>51000140</v>
      </c>
      <c r="C103" t="s">
        <v>1183</v>
      </c>
      <c r="F103" s="5">
        <v>-406540.27</v>
      </c>
      <c r="G103" s="16">
        <f t="shared" si="3"/>
        <v>-459679</v>
      </c>
      <c r="H103" s="54">
        <f t="shared" si="4"/>
        <v>-866219.27</v>
      </c>
      <c r="I103" t="str">
        <f t="shared" si="5"/>
        <v>COGS: Trading Goods</v>
      </c>
      <c r="J103" t="s">
        <v>1148</v>
      </c>
      <c r="K103" t="str">
        <f t="shared" si="6"/>
        <v>Output GST Payable</v>
      </c>
    </row>
    <row r="104" spans="2:11" x14ac:dyDescent="0.45">
      <c r="B104">
        <v>51000230</v>
      </c>
      <c r="C104" t="s">
        <v>1184</v>
      </c>
      <c r="F104" s="5">
        <v>461094.08</v>
      </c>
      <c r="G104" s="16">
        <f t="shared" si="3"/>
        <v>459679</v>
      </c>
      <c r="H104" s="54">
        <f t="shared" si="4"/>
        <v>920773.08000000007</v>
      </c>
      <c r="I104" t="str">
        <f t="shared" si="5"/>
        <v>COGS: Beverages</v>
      </c>
      <c r="J104" t="s">
        <v>1428</v>
      </c>
      <c r="K104" t="e">
        <f t="shared" si="6"/>
        <v>#N/A</v>
      </c>
    </row>
    <row r="105" spans="2:11" x14ac:dyDescent="0.45">
      <c r="B105">
        <v>51000250</v>
      </c>
      <c r="C105" t="s">
        <v>1559</v>
      </c>
      <c r="F105" s="5">
        <v>-459638.63</v>
      </c>
      <c r="G105" s="16">
        <f t="shared" si="3"/>
        <v>-459679</v>
      </c>
      <c r="H105" s="54">
        <f t="shared" si="4"/>
        <v>-919317.63</v>
      </c>
      <c r="I105" t="str">
        <f t="shared" si="5"/>
        <v>COGS: Alcohol</v>
      </c>
      <c r="J105" t="s">
        <v>1429</v>
      </c>
      <c r="K105" t="e">
        <f t="shared" si="6"/>
        <v>#N/A</v>
      </c>
    </row>
    <row r="106" spans="2:11" x14ac:dyDescent="0.45">
      <c r="B106">
        <v>52000180</v>
      </c>
      <c r="C106" t="s">
        <v>1185</v>
      </c>
      <c r="F106" s="5">
        <v>610057.55000000005</v>
      </c>
      <c r="G106" s="16">
        <f t="shared" si="3"/>
        <v>459679</v>
      </c>
      <c r="H106" s="54">
        <f t="shared" si="4"/>
        <v>1069736.55</v>
      </c>
      <c r="I106" t="str">
        <f t="shared" si="5"/>
        <v>COGS: Packaging</v>
      </c>
      <c r="J106" t="s">
        <v>1149</v>
      </c>
      <c r="K106" t="str">
        <f t="shared" si="6"/>
        <v>Other Payables</v>
      </c>
    </row>
    <row r="107" spans="2:11" x14ac:dyDescent="0.45">
      <c r="B107">
        <v>54000040</v>
      </c>
      <c r="C107" t="s">
        <v>1186</v>
      </c>
      <c r="F107" s="5">
        <v>-1111759.94</v>
      </c>
      <c r="G107" s="16">
        <f t="shared" si="3"/>
        <v>-459679</v>
      </c>
      <c r="H107" s="54">
        <f t="shared" si="4"/>
        <v>-1571438.94</v>
      </c>
      <c r="I107" t="str">
        <f t="shared" si="5"/>
        <v>Logistic Price Variance</v>
      </c>
      <c r="J107" t="s">
        <v>1150</v>
      </c>
      <c r="K107" t="str">
        <f t="shared" si="6"/>
        <v>Provn For Deferred Income</v>
      </c>
    </row>
    <row r="108" spans="2:11" x14ac:dyDescent="0.45">
      <c r="B108">
        <v>55000020</v>
      </c>
      <c r="C108" t="s">
        <v>1187</v>
      </c>
      <c r="F108" s="5">
        <v>459336.8</v>
      </c>
      <c r="G108" s="16">
        <f t="shared" si="3"/>
        <v>459679</v>
      </c>
      <c r="H108" s="54">
        <f t="shared" si="4"/>
        <v>919015.8</v>
      </c>
      <c r="I108" t="str">
        <f t="shared" si="5"/>
        <v>COGS: Others</v>
      </c>
      <c r="J108" t="s">
        <v>1151</v>
      </c>
      <c r="K108" t="str">
        <f t="shared" si="6"/>
        <v>Provn For Outlet Reinstatement Cost</v>
      </c>
    </row>
    <row r="109" spans="2:11" x14ac:dyDescent="0.45">
      <c r="B109">
        <v>61100030</v>
      </c>
      <c r="C109" t="s">
        <v>1188</v>
      </c>
      <c r="F109" s="5">
        <v>-396044.62</v>
      </c>
      <c r="G109" s="16">
        <f t="shared" si="3"/>
        <v>-459679</v>
      </c>
      <c r="H109" s="54">
        <f t="shared" si="4"/>
        <v>-855723.62</v>
      </c>
      <c r="I109" t="str">
        <f t="shared" si="5"/>
        <v>Salaries: Dishwashers</v>
      </c>
      <c r="J109" t="s">
        <v>1152</v>
      </c>
      <c r="K109" t="str">
        <f t="shared" si="6"/>
        <v>Provn For Unutilised Leave</v>
      </c>
    </row>
    <row r="110" spans="2:11" x14ac:dyDescent="0.45">
      <c r="B110">
        <v>61100033</v>
      </c>
      <c r="C110" t="s">
        <v>1189</v>
      </c>
      <c r="F110" s="5">
        <v>497144.68</v>
      </c>
      <c r="G110" s="16">
        <f t="shared" si="3"/>
        <v>459679</v>
      </c>
      <c r="H110" s="54">
        <f t="shared" si="4"/>
        <v>956823.67999999993</v>
      </c>
      <c r="I110" t="str">
        <f t="shared" si="5"/>
        <v>Salaries: Doughworkz</v>
      </c>
      <c r="J110" t="s">
        <v>1153</v>
      </c>
      <c r="K110" t="str">
        <f t="shared" si="6"/>
        <v>Bank: Term Loans</v>
      </c>
    </row>
    <row r="111" spans="2:11" x14ac:dyDescent="0.45">
      <c r="B111">
        <v>61100040</v>
      </c>
      <c r="C111" t="s">
        <v>1190</v>
      </c>
      <c r="F111" s="5">
        <v>-181657.51</v>
      </c>
      <c r="G111" s="16">
        <f t="shared" si="3"/>
        <v>-459679</v>
      </c>
      <c r="H111" s="54">
        <f t="shared" si="4"/>
        <v>-641336.51</v>
      </c>
      <c r="I111" t="str">
        <f t="shared" si="5"/>
        <v>Salaries: Drivers</v>
      </c>
      <c r="J111" t="s">
        <v>1154</v>
      </c>
      <c r="K111" t="str">
        <f t="shared" si="6"/>
        <v>Bank: MML</v>
      </c>
    </row>
    <row r="112" spans="2:11" x14ac:dyDescent="0.45">
      <c r="B112">
        <v>61100080</v>
      </c>
      <c r="C112" t="s">
        <v>1191</v>
      </c>
      <c r="F112" s="5">
        <v>1771476.27</v>
      </c>
      <c r="G112" s="16">
        <f t="shared" si="3"/>
        <v>459679</v>
      </c>
      <c r="H112" s="54">
        <f t="shared" si="4"/>
        <v>2231155.27</v>
      </c>
      <c r="I112" t="str">
        <f t="shared" si="5"/>
        <v>Salaries: Kitchen Crew</v>
      </c>
      <c r="J112" t="s">
        <v>1155</v>
      </c>
      <c r="K112" t="str">
        <f t="shared" si="6"/>
        <v>Bank: Trust Receipts</v>
      </c>
    </row>
    <row r="113" spans="2:11" x14ac:dyDescent="0.45">
      <c r="B113">
        <v>61100090</v>
      </c>
      <c r="C113" t="s">
        <v>1192</v>
      </c>
      <c r="F113" s="5">
        <v>3750975.5999999996</v>
      </c>
      <c r="G113" s="16">
        <f t="shared" si="3"/>
        <v>-459679</v>
      </c>
      <c r="H113" s="54">
        <f t="shared" si="4"/>
        <v>3291296.5999999996</v>
      </c>
      <c r="I113" t="str">
        <f t="shared" si="5"/>
        <v>Salaries: Kitchen Management</v>
      </c>
      <c r="J113" t="s">
        <v>1426</v>
      </c>
      <c r="K113" t="e">
        <f t="shared" si="6"/>
        <v>#N/A</v>
      </c>
    </row>
    <row r="114" spans="2:11" x14ac:dyDescent="0.45">
      <c r="B114">
        <v>61100100</v>
      </c>
      <c r="C114" t="s">
        <v>1193</v>
      </c>
      <c r="F114" s="5">
        <v>4328315.21</v>
      </c>
      <c r="G114" s="16">
        <f t="shared" ref="G114:G177" si="7">-G113</f>
        <v>459679</v>
      </c>
      <c r="H114" s="54">
        <f t="shared" si="4"/>
        <v>4787994.21</v>
      </c>
      <c r="I114" t="str">
        <f t="shared" si="5"/>
        <v>Salaries: Management &amp; Office</v>
      </c>
      <c r="J114" t="s">
        <v>1425</v>
      </c>
      <c r="K114" t="e">
        <f t="shared" si="6"/>
        <v>#N/A</v>
      </c>
    </row>
    <row r="115" spans="2:11" x14ac:dyDescent="0.45">
      <c r="B115">
        <v>61100120</v>
      </c>
      <c r="C115" t="s">
        <v>1194</v>
      </c>
      <c r="F115" s="5">
        <v>814245.22</v>
      </c>
      <c r="G115" s="16">
        <f t="shared" si="7"/>
        <v>-459679</v>
      </c>
      <c r="H115" s="54">
        <f t="shared" si="4"/>
        <v>354566.22</v>
      </c>
      <c r="I115" t="str">
        <f t="shared" si="5"/>
        <v>Salaries: Service Crew</v>
      </c>
      <c r="J115" t="s">
        <v>1395</v>
      </c>
      <c r="K115" t="e">
        <f t="shared" si="6"/>
        <v>#N/A</v>
      </c>
    </row>
    <row r="116" spans="2:11" x14ac:dyDescent="0.45">
      <c r="B116">
        <v>61100130</v>
      </c>
      <c r="C116" t="s">
        <v>1195</v>
      </c>
      <c r="F116" s="5">
        <v>6388425.4699999997</v>
      </c>
      <c r="G116" s="16">
        <f t="shared" si="7"/>
        <v>459679</v>
      </c>
      <c r="H116" s="54">
        <f t="shared" si="4"/>
        <v>6848104.4699999997</v>
      </c>
      <c r="I116" t="str">
        <f t="shared" si="5"/>
        <v>Salaries: Service Management</v>
      </c>
      <c r="J116" t="s">
        <v>1396</v>
      </c>
      <c r="K116" t="e">
        <f t="shared" si="6"/>
        <v>#N/A</v>
      </c>
    </row>
    <row r="117" spans="2:11" x14ac:dyDescent="0.45">
      <c r="B117">
        <v>61100140</v>
      </c>
      <c r="C117" t="s">
        <v>1196</v>
      </c>
      <c r="F117" s="5">
        <v>-382517.89</v>
      </c>
      <c r="G117" s="16">
        <f t="shared" si="7"/>
        <v>-459679</v>
      </c>
      <c r="H117" s="54">
        <f t="shared" si="4"/>
        <v>-842196.89</v>
      </c>
      <c r="I117" t="str">
        <f t="shared" si="5"/>
        <v>Salaries: Other</v>
      </c>
      <c r="J117" t="s">
        <v>1156</v>
      </c>
      <c r="K117" t="str">
        <f t="shared" si="6"/>
        <v>Shareholder Loans</v>
      </c>
    </row>
    <row r="118" spans="2:11" x14ac:dyDescent="0.45">
      <c r="B118">
        <v>61100150</v>
      </c>
      <c r="C118" t="s">
        <v>1197</v>
      </c>
      <c r="F118" s="5">
        <v>667807</v>
      </c>
      <c r="G118" s="16">
        <f t="shared" si="7"/>
        <v>459679</v>
      </c>
      <c r="H118" s="54">
        <f t="shared" si="4"/>
        <v>1127486</v>
      </c>
      <c r="I118" t="str">
        <f t="shared" si="5"/>
        <v>Direct Allocation Charges</v>
      </c>
      <c r="J118" t="s">
        <v>1157</v>
      </c>
      <c r="K118" t="str">
        <f t="shared" si="6"/>
        <v>Deferred Income Tax Liabilities</v>
      </c>
    </row>
    <row r="119" spans="2:11" x14ac:dyDescent="0.45">
      <c r="B119">
        <v>61100160</v>
      </c>
      <c r="C119" t="s">
        <v>1198</v>
      </c>
      <c r="F119" s="5">
        <v>-415016.41000000003</v>
      </c>
      <c r="G119" s="16">
        <f t="shared" si="7"/>
        <v>-459679</v>
      </c>
      <c r="H119" s="54">
        <f t="shared" si="4"/>
        <v>-874695.41</v>
      </c>
      <c r="I119" t="str">
        <f t="shared" si="5"/>
        <v>Staff Acting Allowance</v>
      </c>
      <c r="J119" t="s">
        <v>1532</v>
      </c>
      <c r="K119" t="e">
        <f t="shared" si="6"/>
        <v>#N/A</v>
      </c>
    </row>
    <row r="120" spans="2:11" x14ac:dyDescent="0.45">
      <c r="B120">
        <v>61100170</v>
      </c>
      <c r="C120" t="s">
        <v>1199</v>
      </c>
      <c r="F120" s="5">
        <v>485210.76</v>
      </c>
      <c r="G120" s="16">
        <f t="shared" si="7"/>
        <v>459679</v>
      </c>
      <c r="H120" s="54">
        <f t="shared" si="4"/>
        <v>944889.76</v>
      </c>
      <c r="I120" t="str">
        <f t="shared" si="5"/>
        <v>Staff Attendance Allowance</v>
      </c>
      <c r="J120" t="s">
        <v>1158</v>
      </c>
      <c r="K120" t="str">
        <f t="shared" si="6"/>
        <v>Ordinary Share Capital</v>
      </c>
    </row>
    <row r="121" spans="2:11" x14ac:dyDescent="0.45">
      <c r="B121">
        <v>61100200</v>
      </c>
      <c r="C121" t="s">
        <v>1200</v>
      </c>
      <c r="F121" s="5">
        <v>-393070.17</v>
      </c>
      <c r="G121" s="16">
        <f t="shared" si="7"/>
        <v>-459679</v>
      </c>
      <c r="H121" s="54">
        <f t="shared" si="4"/>
        <v>-852749.16999999993</v>
      </c>
      <c r="I121" t="str">
        <f t="shared" si="5"/>
        <v>Staff Housing Allowance</v>
      </c>
      <c r="J121" t="s">
        <v>1558</v>
      </c>
      <c r="K121" t="str">
        <f t="shared" si="6"/>
        <v>Preference Share Capital</v>
      </c>
    </row>
    <row r="122" spans="2:11" x14ac:dyDescent="0.45">
      <c r="B122">
        <v>61100210</v>
      </c>
      <c r="C122" t="s">
        <v>1201</v>
      </c>
      <c r="F122" s="5">
        <v>492442.56</v>
      </c>
      <c r="G122" s="16">
        <f t="shared" si="7"/>
        <v>459679</v>
      </c>
      <c r="H122" s="54">
        <f t="shared" si="4"/>
        <v>952121.56</v>
      </c>
      <c r="I122" t="str">
        <f t="shared" si="5"/>
        <v>Staff Meal Allowance</v>
      </c>
      <c r="J122" t="s">
        <v>1159</v>
      </c>
      <c r="K122" t="str">
        <f t="shared" si="6"/>
        <v>Beginning Retained Earnings</v>
      </c>
    </row>
    <row r="123" spans="2:11" x14ac:dyDescent="0.45">
      <c r="B123">
        <v>61100220</v>
      </c>
      <c r="C123" t="s">
        <v>1202</v>
      </c>
      <c r="F123" s="5">
        <v>-432563.36</v>
      </c>
      <c r="G123" s="16">
        <f t="shared" si="7"/>
        <v>-459679</v>
      </c>
      <c r="H123" s="54">
        <f t="shared" si="4"/>
        <v>-892242.36</v>
      </c>
      <c r="I123" t="str">
        <f t="shared" si="5"/>
        <v>Staff Mobile Charges</v>
      </c>
      <c r="J123" t="s">
        <v>1384</v>
      </c>
      <c r="K123" t="e">
        <f t="shared" si="6"/>
        <v>#N/A</v>
      </c>
    </row>
    <row r="124" spans="2:11" x14ac:dyDescent="0.45">
      <c r="B124">
        <v>61100230</v>
      </c>
      <c r="C124" t="s">
        <v>1203</v>
      </c>
      <c r="F124" s="5">
        <v>519772.9</v>
      </c>
      <c r="G124" s="16">
        <f t="shared" si="7"/>
        <v>459679</v>
      </c>
      <c r="H124" s="54">
        <f t="shared" si="4"/>
        <v>979451.9</v>
      </c>
      <c r="I124" t="str">
        <f t="shared" si="5"/>
        <v>Staff Performance Incentive</v>
      </c>
      <c r="J124" t="s">
        <v>1385</v>
      </c>
      <c r="K124" t="e">
        <f t="shared" si="6"/>
        <v>#N/A</v>
      </c>
    </row>
    <row r="125" spans="2:11" x14ac:dyDescent="0.45">
      <c r="B125">
        <v>61100240</v>
      </c>
      <c r="C125" t="s">
        <v>1204</v>
      </c>
      <c r="F125" s="5">
        <v>-457643.38</v>
      </c>
      <c r="G125" s="16">
        <f t="shared" si="7"/>
        <v>-459679</v>
      </c>
      <c r="H125" s="54">
        <f t="shared" si="4"/>
        <v>-917322.38</v>
      </c>
      <c r="I125" t="str">
        <f t="shared" si="5"/>
        <v>Staff Relocation Allowance</v>
      </c>
      <c r="J125" t="s">
        <v>1333</v>
      </c>
      <c r="K125" t="e">
        <f t="shared" si="6"/>
        <v>#N/A</v>
      </c>
    </row>
    <row r="126" spans="2:11" x14ac:dyDescent="0.45">
      <c r="B126">
        <v>61100260</v>
      </c>
      <c r="C126" t="s">
        <v>1205</v>
      </c>
      <c r="F126" s="5">
        <v>596873.09</v>
      </c>
      <c r="G126" s="16">
        <f t="shared" si="7"/>
        <v>459679</v>
      </c>
      <c r="H126" s="54">
        <f t="shared" si="4"/>
        <v>1056552.0899999999</v>
      </c>
      <c r="I126" t="str">
        <f t="shared" si="5"/>
        <v>Staff Transport / Travel Allowance</v>
      </c>
      <c r="J126" t="s">
        <v>1537</v>
      </c>
      <c r="K126" t="e">
        <f t="shared" si="6"/>
        <v>#N/A</v>
      </c>
    </row>
    <row r="127" spans="2:11" x14ac:dyDescent="0.45">
      <c r="B127">
        <v>61100280</v>
      </c>
      <c r="C127" t="s">
        <v>1206</v>
      </c>
      <c r="F127" s="5">
        <v>-361420.5</v>
      </c>
      <c r="G127" s="16">
        <f t="shared" si="7"/>
        <v>-459679</v>
      </c>
      <c r="H127" s="54">
        <f t="shared" si="4"/>
        <v>-821099.5</v>
      </c>
      <c r="I127" t="str">
        <f t="shared" si="5"/>
        <v>Staff Other Allowances</v>
      </c>
      <c r="J127" t="s">
        <v>1160</v>
      </c>
      <c r="K127" t="str">
        <f t="shared" si="6"/>
        <v>Sales: Food</v>
      </c>
    </row>
    <row r="128" spans="2:11" x14ac:dyDescent="0.45">
      <c r="B128">
        <v>61100310</v>
      </c>
      <c r="C128" t="s">
        <v>1207</v>
      </c>
      <c r="F128" s="5">
        <v>460668.85</v>
      </c>
      <c r="G128" s="16">
        <f t="shared" si="7"/>
        <v>459679</v>
      </c>
      <c r="H128" s="54">
        <f t="shared" si="4"/>
        <v>920347.85</v>
      </c>
      <c r="I128" t="str">
        <f t="shared" si="5"/>
        <v>OT Pay: Dishwashers</v>
      </c>
      <c r="J128" t="s">
        <v>1161</v>
      </c>
      <c r="K128" t="str">
        <f t="shared" si="6"/>
        <v>Sales: Delivery</v>
      </c>
    </row>
    <row r="129" spans="2:11" x14ac:dyDescent="0.45">
      <c r="B129">
        <v>61100313</v>
      </c>
      <c r="C129" t="s">
        <v>1208</v>
      </c>
      <c r="F129" s="5">
        <v>-459503.65</v>
      </c>
      <c r="G129" s="16">
        <f t="shared" si="7"/>
        <v>-459679</v>
      </c>
      <c r="H129" s="54">
        <f t="shared" si="4"/>
        <v>-919182.65</v>
      </c>
      <c r="I129" t="str">
        <f t="shared" si="5"/>
        <v>OT Pay: Doughworkz</v>
      </c>
      <c r="J129" t="s">
        <v>1162</v>
      </c>
      <c r="K129" t="str">
        <f t="shared" si="6"/>
        <v>Sales: Merchandise</v>
      </c>
    </row>
    <row r="130" spans="2:11" x14ac:dyDescent="0.45">
      <c r="B130">
        <v>61100320</v>
      </c>
      <c r="C130" t="s">
        <v>1209</v>
      </c>
      <c r="F130" s="5">
        <v>463363.89</v>
      </c>
      <c r="G130" s="16">
        <f t="shared" si="7"/>
        <v>459679</v>
      </c>
      <c r="H130" s="54">
        <f t="shared" si="4"/>
        <v>923042.89</v>
      </c>
      <c r="I130" t="str">
        <f t="shared" si="5"/>
        <v>OT Pay: Drivers</v>
      </c>
      <c r="J130" t="s">
        <v>1163</v>
      </c>
      <c r="K130" t="str">
        <f t="shared" si="6"/>
        <v>Sales: Franchise Supplies</v>
      </c>
    </row>
    <row r="131" spans="2:11" x14ac:dyDescent="0.45">
      <c r="B131">
        <v>61100350</v>
      </c>
      <c r="C131" t="s">
        <v>1210</v>
      </c>
      <c r="F131" s="5">
        <v>-459672.9</v>
      </c>
      <c r="G131" s="16">
        <f t="shared" si="7"/>
        <v>-459679</v>
      </c>
      <c r="H131" s="54">
        <f t="shared" si="4"/>
        <v>-919351.9</v>
      </c>
      <c r="I131" t="str">
        <f t="shared" si="5"/>
        <v>OT Pay: Harvest</v>
      </c>
      <c r="J131" t="s">
        <v>1164</v>
      </c>
      <c r="K131" t="str">
        <f t="shared" si="6"/>
        <v>Sales: Beverages</v>
      </c>
    </row>
    <row r="132" spans="2:11" x14ac:dyDescent="0.45">
      <c r="B132">
        <v>61100360</v>
      </c>
      <c r="C132" t="s">
        <v>1211</v>
      </c>
      <c r="F132" s="5">
        <v>729597.2</v>
      </c>
      <c r="G132" s="16">
        <f t="shared" si="7"/>
        <v>459679</v>
      </c>
      <c r="H132" s="54">
        <f t="shared" si="4"/>
        <v>1189276.2</v>
      </c>
      <c r="I132" t="str">
        <f t="shared" si="5"/>
        <v>OT Pay: Kitchen Crew</v>
      </c>
      <c r="J132" t="s">
        <v>1165</v>
      </c>
      <c r="K132" t="str">
        <f t="shared" si="6"/>
        <v>Sales: Online</v>
      </c>
    </row>
    <row r="133" spans="2:11" x14ac:dyDescent="0.45">
      <c r="B133">
        <v>61100370</v>
      </c>
      <c r="C133" t="s">
        <v>1212</v>
      </c>
      <c r="F133" s="5">
        <v>-364942.52</v>
      </c>
      <c r="G133" s="16">
        <f t="shared" si="7"/>
        <v>-459679</v>
      </c>
      <c r="H133" s="54">
        <f t="shared" si="4"/>
        <v>-824621.52</v>
      </c>
      <c r="I133" t="str">
        <f t="shared" si="5"/>
        <v>OT Pay: Kitchen Management</v>
      </c>
      <c r="J133" t="s">
        <v>1166</v>
      </c>
      <c r="K133" t="str">
        <f t="shared" si="6"/>
        <v>Sales: Alcohol</v>
      </c>
    </row>
    <row r="134" spans="2:11" x14ac:dyDescent="0.45">
      <c r="B134">
        <v>61100380</v>
      </c>
      <c r="C134" t="s">
        <v>1213</v>
      </c>
      <c r="F134" s="5">
        <v>459828.31</v>
      </c>
      <c r="G134" s="16">
        <f t="shared" si="7"/>
        <v>459679</v>
      </c>
      <c r="H134" s="54">
        <f t="shared" si="4"/>
        <v>919507.31</v>
      </c>
      <c r="I134" t="str">
        <f t="shared" si="5"/>
        <v>OT Pay: Management &amp; Office</v>
      </c>
      <c r="J134" t="s">
        <v>1167</v>
      </c>
      <c r="K134" t="str">
        <f t="shared" si="6"/>
        <v>Sales: Service Charge</v>
      </c>
    </row>
    <row r="135" spans="2:11" x14ac:dyDescent="0.45">
      <c r="B135">
        <v>61100400</v>
      </c>
      <c r="C135" t="s">
        <v>1214</v>
      </c>
      <c r="F135" s="5">
        <v>-440029.43</v>
      </c>
      <c r="G135" s="16">
        <f t="shared" si="7"/>
        <v>-459679</v>
      </c>
      <c r="H135" s="54">
        <f t="shared" ref="H135:H198" si="8">SUM(F135:G135)</f>
        <v>-899708.42999999993</v>
      </c>
      <c r="I135" t="str">
        <f t="shared" ref="I135:I198" si="9">VLOOKUP(C135,$J$6:$J$351,1,FALSE)</f>
        <v>OT Pay: Service Crew</v>
      </c>
      <c r="J135" t="s">
        <v>1168</v>
      </c>
      <c r="K135" t="str">
        <f t="shared" ref="K135:K198" si="10">VLOOKUP(J135,$C$6:$C$242,1,FALSE)</f>
        <v>Sales: Goods</v>
      </c>
    </row>
    <row r="136" spans="2:11" x14ac:dyDescent="0.45">
      <c r="B136">
        <v>61100410</v>
      </c>
      <c r="C136" t="s">
        <v>1215</v>
      </c>
      <c r="F136" s="5">
        <v>542127.29</v>
      </c>
      <c r="G136" s="16">
        <f t="shared" si="7"/>
        <v>459679</v>
      </c>
      <c r="H136" s="54">
        <f t="shared" si="8"/>
        <v>1001806.29</v>
      </c>
      <c r="I136" t="str">
        <f t="shared" si="9"/>
        <v>OT Pay: Service Management</v>
      </c>
      <c r="J136" t="s">
        <v>1169</v>
      </c>
      <c r="K136" t="str">
        <f t="shared" si="10"/>
        <v>Sales: Miscellaneous</v>
      </c>
    </row>
    <row r="137" spans="2:11" x14ac:dyDescent="0.45">
      <c r="B137">
        <v>61100420</v>
      </c>
      <c r="C137" t="s">
        <v>1216</v>
      </c>
      <c r="F137" s="5">
        <v>-437642.72</v>
      </c>
      <c r="G137" s="16">
        <f t="shared" si="7"/>
        <v>-459679</v>
      </c>
      <c r="H137" s="54">
        <f t="shared" si="8"/>
        <v>-897321.72</v>
      </c>
      <c r="I137" t="str">
        <f t="shared" si="9"/>
        <v>Labour Chgs/Part-Timer/Internship</v>
      </c>
      <c r="J137" t="s">
        <v>1170</v>
      </c>
      <c r="K137" t="str">
        <f t="shared" si="10"/>
        <v>Sales Discounts &amp; Rebates</v>
      </c>
    </row>
    <row r="138" spans="2:11" x14ac:dyDescent="0.45">
      <c r="B138">
        <v>61100430</v>
      </c>
      <c r="C138" t="s">
        <v>1217</v>
      </c>
      <c r="F138" s="5">
        <v>1897467.77</v>
      </c>
      <c r="G138" s="16">
        <f t="shared" si="7"/>
        <v>459679</v>
      </c>
      <c r="H138" s="54">
        <f t="shared" si="8"/>
        <v>2357146.77</v>
      </c>
      <c r="I138" t="str">
        <f t="shared" si="9"/>
        <v>Staff AWS</v>
      </c>
      <c r="J138" t="s">
        <v>1325</v>
      </c>
      <c r="K138" t="e">
        <f t="shared" si="10"/>
        <v>#N/A</v>
      </c>
    </row>
    <row r="139" spans="2:11" x14ac:dyDescent="0.45">
      <c r="B139">
        <v>61100440</v>
      </c>
      <c r="C139" t="s">
        <v>1218</v>
      </c>
      <c r="F139" s="5">
        <v>-109273.10999999999</v>
      </c>
      <c r="G139" s="16">
        <f t="shared" si="7"/>
        <v>-459679</v>
      </c>
      <c r="H139" s="54">
        <f t="shared" si="8"/>
        <v>-568952.11</v>
      </c>
      <c r="I139" t="str">
        <f t="shared" si="9"/>
        <v>Staff Variable Bonus</v>
      </c>
      <c r="J139" t="s">
        <v>1171</v>
      </c>
      <c r="K139" t="str">
        <f t="shared" si="10"/>
        <v>COGS: Food</v>
      </c>
    </row>
    <row r="140" spans="2:11" x14ac:dyDescent="0.45">
      <c r="B140">
        <v>61100540</v>
      </c>
      <c r="C140" t="s">
        <v>1219</v>
      </c>
      <c r="F140" s="5">
        <v>2456703.2599999998</v>
      </c>
      <c r="G140" s="16">
        <f t="shared" si="7"/>
        <v>459679</v>
      </c>
      <c r="H140" s="54">
        <f t="shared" si="8"/>
        <v>2916382.26</v>
      </c>
      <c r="I140" t="str">
        <f t="shared" si="9"/>
        <v>Staff CPF (E'er)</v>
      </c>
      <c r="J140" t="s">
        <v>1172</v>
      </c>
      <c r="K140" t="str">
        <f t="shared" si="10"/>
        <v>COGS: Promotions</v>
      </c>
    </row>
    <row r="141" spans="2:11" x14ac:dyDescent="0.45">
      <c r="B141">
        <v>61100570</v>
      </c>
      <c r="C141" t="s">
        <v>1220</v>
      </c>
      <c r="F141" s="5">
        <v>-376219</v>
      </c>
      <c r="G141" s="16">
        <f t="shared" si="7"/>
        <v>-459679</v>
      </c>
      <c r="H141" s="54">
        <f t="shared" si="8"/>
        <v>-835898</v>
      </c>
      <c r="I141" t="str">
        <f t="shared" si="9"/>
        <v>Staff Appreciation Award</v>
      </c>
      <c r="J141" t="s">
        <v>1173</v>
      </c>
      <c r="K141" t="str">
        <f t="shared" si="10"/>
        <v>COGS: Entertainment</v>
      </c>
    </row>
    <row r="142" spans="2:11" x14ac:dyDescent="0.45">
      <c r="B142">
        <v>61100590</v>
      </c>
      <c r="C142" t="s">
        <v>1221</v>
      </c>
      <c r="F142" s="5">
        <v>503068.39</v>
      </c>
      <c r="G142" s="16">
        <f t="shared" si="7"/>
        <v>459679</v>
      </c>
      <c r="H142" s="54">
        <f t="shared" si="8"/>
        <v>962747.39</v>
      </c>
      <c r="I142" t="str">
        <f t="shared" si="9"/>
        <v>Staff Incentives / Commission</v>
      </c>
      <c r="J142" t="s">
        <v>1174</v>
      </c>
      <c r="K142" t="str">
        <f t="shared" si="10"/>
        <v>COGS: Staff Meals</v>
      </c>
    </row>
    <row r="143" spans="2:11" x14ac:dyDescent="0.45">
      <c r="B143">
        <v>61100600</v>
      </c>
      <c r="C143" t="s">
        <v>1222</v>
      </c>
      <c r="F143" s="5">
        <v>-252777.51</v>
      </c>
      <c r="G143" s="16">
        <f t="shared" si="7"/>
        <v>-459679</v>
      </c>
      <c r="H143" s="54">
        <f t="shared" si="8"/>
        <v>-712456.51</v>
      </c>
      <c r="I143" t="str">
        <f t="shared" si="9"/>
        <v>Staff Insurance</v>
      </c>
      <c r="J143" t="s">
        <v>1175</v>
      </c>
      <c r="K143" t="str">
        <f t="shared" si="10"/>
        <v>COGS: Wastage</v>
      </c>
    </row>
    <row r="144" spans="2:11" x14ac:dyDescent="0.45">
      <c r="B144">
        <v>61100610</v>
      </c>
      <c r="C144" t="s">
        <v>1223</v>
      </c>
      <c r="F144" s="5">
        <v>523715.99</v>
      </c>
      <c r="G144" s="16">
        <f t="shared" si="7"/>
        <v>459679</v>
      </c>
      <c r="H144" s="54">
        <f t="shared" si="8"/>
        <v>983394.99</v>
      </c>
      <c r="I144" t="str">
        <f t="shared" si="9"/>
        <v>Staff Laundry Expense</v>
      </c>
      <c r="J144" t="s">
        <v>1176</v>
      </c>
      <c r="K144" t="str">
        <f t="shared" si="10"/>
        <v>COGS: Wastage - Beverages</v>
      </c>
    </row>
    <row r="145" spans="2:11" x14ac:dyDescent="0.45">
      <c r="B145">
        <v>61100620</v>
      </c>
      <c r="C145" t="s">
        <v>1224</v>
      </c>
      <c r="F145" s="5">
        <v>-459586.6</v>
      </c>
      <c r="G145" s="16">
        <f t="shared" si="7"/>
        <v>-459679</v>
      </c>
      <c r="H145" s="54">
        <f t="shared" si="8"/>
        <v>-919265.6</v>
      </c>
      <c r="I145" t="str">
        <f t="shared" si="9"/>
        <v>Staff Meal</v>
      </c>
      <c r="J145" t="s">
        <v>1177</v>
      </c>
      <c r="K145" t="str">
        <f t="shared" si="10"/>
        <v>COGS: Wastage - Alcohol</v>
      </c>
    </row>
    <row r="146" spans="2:11" x14ac:dyDescent="0.45">
      <c r="B146">
        <v>61100621</v>
      </c>
      <c r="C146" t="s">
        <v>1225</v>
      </c>
      <c r="F146" s="5">
        <v>558886.63</v>
      </c>
      <c r="G146" s="16">
        <f t="shared" si="7"/>
        <v>459679</v>
      </c>
      <c r="H146" s="54">
        <f t="shared" si="8"/>
        <v>1018565.63</v>
      </c>
      <c r="I146" t="str">
        <f t="shared" si="9"/>
        <v>Staff Welfare</v>
      </c>
      <c r="J146" t="s">
        <v>1178</v>
      </c>
      <c r="K146" t="str">
        <f t="shared" si="10"/>
        <v>COGS: Pkg &amp; Consumables</v>
      </c>
    </row>
    <row r="147" spans="2:11" x14ac:dyDescent="0.45">
      <c r="B147">
        <v>61100630</v>
      </c>
      <c r="C147" t="s">
        <v>1226</v>
      </c>
      <c r="F147" s="5">
        <v>-453171.64</v>
      </c>
      <c r="G147" s="16">
        <f t="shared" si="7"/>
        <v>-459679</v>
      </c>
      <c r="H147" s="54">
        <f t="shared" si="8"/>
        <v>-912850.64</v>
      </c>
      <c r="I147" t="str">
        <f t="shared" si="9"/>
        <v>Staff Medical</v>
      </c>
      <c r="J147" t="s">
        <v>1179</v>
      </c>
      <c r="K147" t="str">
        <f t="shared" si="10"/>
        <v>COGS: Raw Materials</v>
      </c>
    </row>
    <row r="148" spans="2:11" x14ac:dyDescent="0.45">
      <c r="B148">
        <v>61100650</v>
      </c>
      <c r="C148" t="s">
        <v>1227</v>
      </c>
      <c r="F148" s="5">
        <v>706646.8</v>
      </c>
      <c r="G148" s="16">
        <f t="shared" si="7"/>
        <v>459679</v>
      </c>
      <c r="H148" s="54">
        <f t="shared" si="8"/>
        <v>1166325.8</v>
      </c>
      <c r="I148" t="str">
        <f t="shared" si="9"/>
        <v>Staff Transport Expense</v>
      </c>
      <c r="J148" t="s">
        <v>1180</v>
      </c>
      <c r="K148" t="str">
        <f t="shared" si="10"/>
        <v>COGS: Stocktake Variance FGI</v>
      </c>
    </row>
    <row r="149" spans="2:11" x14ac:dyDescent="0.45">
      <c r="B149">
        <v>61100660</v>
      </c>
      <c r="C149" t="s">
        <v>1228</v>
      </c>
      <c r="F149" s="5">
        <v>-388811.9</v>
      </c>
      <c r="G149" s="16">
        <f t="shared" si="7"/>
        <v>-459679</v>
      </c>
      <c r="H149" s="54">
        <f t="shared" si="8"/>
        <v>-848490.9</v>
      </c>
      <c r="I149" t="str">
        <f t="shared" si="9"/>
        <v>Staff Unutilised Leave</v>
      </c>
      <c r="J149" t="s">
        <v>1181</v>
      </c>
      <c r="K149" t="str">
        <f t="shared" si="10"/>
        <v>COGS: Stocktake Variance Raw Materials</v>
      </c>
    </row>
    <row r="150" spans="2:11" x14ac:dyDescent="0.45">
      <c r="B150">
        <v>61100670</v>
      </c>
      <c r="C150" t="s">
        <v>1229</v>
      </c>
      <c r="F150" s="5">
        <v>1338838.76</v>
      </c>
      <c r="G150" s="16">
        <f t="shared" si="7"/>
        <v>459679</v>
      </c>
      <c r="H150" s="54">
        <f t="shared" si="8"/>
        <v>1798517.76</v>
      </c>
      <c r="I150" t="str">
        <f t="shared" si="9"/>
        <v>Foreign Worker Levy</v>
      </c>
      <c r="J150" t="s">
        <v>1181</v>
      </c>
      <c r="K150" t="str">
        <f t="shared" si="10"/>
        <v>COGS: Stocktake Variance Raw Materials</v>
      </c>
    </row>
    <row r="151" spans="2:11" x14ac:dyDescent="0.45">
      <c r="B151">
        <v>61100710</v>
      </c>
      <c r="C151" t="s">
        <v>1230</v>
      </c>
      <c r="F151" s="5">
        <v>-455479</v>
      </c>
      <c r="G151" s="16">
        <f t="shared" si="7"/>
        <v>-459679</v>
      </c>
      <c r="H151" s="54">
        <f t="shared" si="8"/>
        <v>-915158</v>
      </c>
      <c r="I151" t="str">
        <f t="shared" si="9"/>
        <v>Staff Recommendation Incentive</v>
      </c>
      <c r="J151" t="s">
        <v>1181</v>
      </c>
      <c r="K151" t="str">
        <f t="shared" si="10"/>
        <v>COGS: Stocktake Variance Raw Materials</v>
      </c>
    </row>
    <row r="152" spans="2:11" x14ac:dyDescent="0.45">
      <c r="B152">
        <v>61200050</v>
      </c>
      <c r="C152" t="s">
        <v>1231</v>
      </c>
      <c r="F152" s="5">
        <v>595360.16</v>
      </c>
      <c r="G152" s="16">
        <f t="shared" si="7"/>
        <v>459679</v>
      </c>
      <c r="H152" s="54">
        <f t="shared" si="8"/>
        <v>1055039.1600000001</v>
      </c>
      <c r="I152" t="str">
        <f t="shared" si="9"/>
        <v>Royalties Paid</v>
      </c>
      <c r="J152" t="s">
        <v>1182</v>
      </c>
      <c r="K152" t="str">
        <f t="shared" si="10"/>
        <v>COGS: Stocktake Variance Pkg &amp; Consumab</v>
      </c>
    </row>
    <row r="153" spans="2:11" x14ac:dyDescent="0.45">
      <c r="B153">
        <v>61200060</v>
      </c>
      <c r="C153" t="s">
        <v>1232</v>
      </c>
      <c r="F153" s="5">
        <v>-411023.11</v>
      </c>
      <c r="G153" s="16">
        <f t="shared" si="7"/>
        <v>-459679</v>
      </c>
      <c r="H153" s="54">
        <f t="shared" si="8"/>
        <v>-870702.11</v>
      </c>
      <c r="I153" t="str">
        <f t="shared" si="9"/>
        <v>Merchandise Expense</v>
      </c>
      <c r="J153" t="s">
        <v>1183</v>
      </c>
      <c r="K153" t="str">
        <f t="shared" si="10"/>
        <v>COGS: Trading Goods</v>
      </c>
    </row>
    <row r="154" spans="2:11" x14ac:dyDescent="0.45">
      <c r="B154">
        <v>61200070</v>
      </c>
      <c r="C154" t="s">
        <v>1233</v>
      </c>
      <c r="F154" s="5">
        <v>487468.09</v>
      </c>
      <c r="G154" s="16">
        <f t="shared" si="7"/>
        <v>459679</v>
      </c>
      <c r="H154" s="54">
        <f t="shared" si="8"/>
        <v>947147.09000000008</v>
      </c>
      <c r="I154" t="str">
        <f t="shared" si="9"/>
        <v>Promotions</v>
      </c>
      <c r="J154" t="s">
        <v>1184</v>
      </c>
      <c r="K154" t="str">
        <f t="shared" si="10"/>
        <v>COGS: Beverages</v>
      </c>
    </row>
    <row r="155" spans="2:11" x14ac:dyDescent="0.45">
      <c r="B155">
        <v>61200130</v>
      </c>
      <c r="C155" t="s">
        <v>1234</v>
      </c>
      <c r="F155" s="5">
        <v>-455799.1</v>
      </c>
      <c r="G155" s="16">
        <f t="shared" si="7"/>
        <v>-459679</v>
      </c>
      <c r="H155" s="54">
        <f t="shared" si="8"/>
        <v>-915478.1</v>
      </c>
      <c r="I155" t="str">
        <f t="shared" si="9"/>
        <v>Overseas Travel: Airfare</v>
      </c>
      <c r="J155" t="s">
        <v>1559</v>
      </c>
      <c r="K155" t="str">
        <f t="shared" si="10"/>
        <v>COGS: Alcohol</v>
      </c>
    </row>
    <row r="156" spans="2:11" x14ac:dyDescent="0.45">
      <c r="B156">
        <v>61200160</v>
      </c>
      <c r="C156" t="s">
        <v>1235</v>
      </c>
      <c r="F156" s="5">
        <v>460455.16</v>
      </c>
      <c r="G156" s="16">
        <f t="shared" si="7"/>
        <v>459679</v>
      </c>
      <c r="H156" s="54">
        <f t="shared" si="8"/>
        <v>920134.15999999992</v>
      </c>
      <c r="I156" t="str">
        <f t="shared" si="9"/>
        <v>Entertainment</v>
      </c>
      <c r="J156" t="s">
        <v>1185</v>
      </c>
      <c r="K156" t="str">
        <f t="shared" si="10"/>
        <v>COGS: Packaging</v>
      </c>
    </row>
    <row r="157" spans="2:11" x14ac:dyDescent="0.45">
      <c r="B157">
        <v>61200180</v>
      </c>
      <c r="C157" t="s">
        <v>1236</v>
      </c>
      <c r="F157" s="5">
        <v>-386704.53</v>
      </c>
      <c r="G157" s="16">
        <f t="shared" si="7"/>
        <v>-459679</v>
      </c>
      <c r="H157" s="54">
        <f t="shared" si="8"/>
        <v>-846383.53</v>
      </c>
      <c r="I157" t="str">
        <f t="shared" si="9"/>
        <v>Printing A&amp;P</v>
      </c>
      <c r="J157" t="s">
        <v>1186</v>
      </c>
      <c r="K157" t="str">
        <f t="shared" si="10"/>
        <v>Logistic Price Variance</v>
      </c>
    </row>
    <row r="158" spans="2:11" x14ac:dyDescent="0.45">
      <c r="B158">
        <v>61200210</v>
      </c>
      <c r="C158" t="s">
        <v>1237</v>
      </c>
      <c r="F158" s="5">
        <v>476895.99</v>
      </c>
      <c r="G158" s="16">
        <f t="shared" si="7"/>
        <v>459679</v>
      </c>
      <c r="H158" s="54">
        <f t="shared" si="8"/>
        <v>936574.99</v>
      </c>
      <c r="I158" t="str">
        <f t="shared" si="9"/>
        <v>Prod Devmt (Food Tastg &amp; Analysis)</v>
      </c>
      <c r="J158" t="s">
        <v>1187</v>
      </c>
      <c r="K158" t="str">
        <f t="shared" si="10"/>
        <v>COGS: Others</v>
      </c>
    </row>
    <row r="159" spans="2:11" x14ac:dyDescent="0.45">
      <c r="B159">
        <v>61200220</v>
      </c>
      <c r="C159" t="s">
        <v>1238</v>
      </c>
      <c r="F159" s="5">
        <v>-239946.4</v>
      </c>
      <c r="G159" s="16">
        <f t="shared" si="7"/>
        <v>-459679</v>
      </c>
      <c r="H159" s="54">
        <f t="shared" si="8"/>
        <v>-699625.4</v>
      </c>
      <c r="I159" t="str">
        <f t="shared" si="9"/>
        <v>Advertising</v>
      </c>
      <c r="J159" t="s">
        <v>1332</v>
      </c>
      <c r="K159" t="e">
        <f t="shared" si="10"/>
        <v>#N/A</v>
      </c>
    </row>
    <row r="160" spans="2:11" x14ac:dyDescent="0.45">
      <c r="B160">
        <v>61200230</v>
      </c>
      <c r="C160" t="s">
        <v>1239</v>
      </c>
      <c r="F160" s="5">
        <v>493832</v>
      </c>
      <c r="G160" s="16">
        <f t="shared" si="7"/>
        <v>459679</v>
      </c>
      <c r="H160" s="54">
        <f t="shared" si="8"/>
        <v>953511</v>
      </c>
      <c r="I160" t="str">
        <f t="shared" si="9"/>
        <v>Branding &amp; Creative Chgs</v>
      </c>
      <c r="J160" t="s">
        <v>1188</v>
      </c>
      <c r="K160" t="str">
        <f t="shared" si="10"/>
        <v>Salaries: Dishwashers</v>
      </c>
    </row>
    <row r="161" spans="2:11" x14ac:dyDescent="0.45">
      <c r="B161">
        <v>61200250</v>
      </c>
      <c r="C161" t="s">
        <v>1240</v>
      </c>
      <c r="F161" s="5">
        <v>-190800.74</v>
      </c>
      <c r="G161" s="16">
        <f t="shared" si="7"/>
        <v>-459679</v>
      </c>
      <c r="H161" s="54">
        <f t="shared" si="8"/>
        <v>-650479.74</v>
      </c>
      <c r="I161" t="str">
        <f t="shared" si="9"/>
        <v>Mktg &amp; Mgt Service Fee Paid</v>
      </c>
      <c r="J161" t="s">
        <v>1189</v>
      </c>
      <c r="K161" t="str">
        <f t="shared" si="10"/>
        <v>Salaries: Doughworkz</v>
      </c>
    </row>
    <row r="162" spans="2:11" x14ac:dyDescent="0.45">
      <c r="B162">
        <v>61300020</v>
      </c>
      <c r="C162" t="s">
        <v>1241</v>
      </c>
      <c r="F162" s="5">
        <v>605306.57000000007</v>
      </c>
      <c r="G162" s="16">
        <f t="shared" si="7"/>
        <v>459679</v>
      </c>
      <c r="H162" s="54">
        <f t="shared" si="8"/>
        <v>1064985.57</v>
      </c>
      <c r="I162" t="str">
        <f t="shared" si="9"/>
        <v>Tpt, Freight &amp; Handling</v>
      </c>
      <c r="J162" t="s">
        <v>1190</v>
      </c>
      <c r="K162" t="str">
        <f t="shared" si="10"/>
        <v>Salaries: Drivers</v>
      </c>
    </row>
    <row r="163" spans="2:11" x14ac:dyDescent="0.45">
      <c r="B163">
        <v>61300030</v>
      </c>
      <c r="C163" t="s">
        <v>1242</v>
      </c>
      <c r="F163" s="5">
        <v>-426125.18</v>
      </c>
      <c r="G163" s="16">
        <f t="shared" si="7"/>
        <v>-459679</v>
      </c>
      <c r="H163" s="54">
        <f t="shared" si="8"/>
        <v>-885804.17999999993</v>
      </c>
      <c r="I163" t="str">
        <f t="shared" si="9"/>
        <v>Company Vehicles: Cashcard, Parking</v>
      </c>
      <c r="J163" t="s">
        <v>1191</v>
      </c>
      <c r="K163" t="str">
        <f t="shared" si="10"/>
        <v>Salaries: Kitchen Crew</v>
      </c>
    </row>
    <row r="164" spans="2:11" x14ac:dyDescent="0.45">
      <c r="B164">
        <v>61300040</v>
      </c>
      <c r="C164" t="s">
        <v>1243</v>
      </c>
      <c r="F164" s="5">
        <v>516579.49</v>
      </c>
      <c r="G164" s="16">
        <f t="shared" si="7"/>
        <v>459679</v>
      </c>
      <c r="H164" s="54">
        <f t="shared" si="8"/>
        <v>976258.49</v>
      </c>
      <c r="I164" t="str">
        <f t="shared" si="9"/>
        <v>Company Vehicles: Fuel</v>
      </c>
      <c r="J164" t="s">
        <v>1192</v>
      </c>
      <c r="K164" t="str">
        <f t="shared" si="10"/>
        <v>Salaries: Kitchen Management</v>
      </c>
    </row>
    <row r="165" spans="2:11" x14ac:dyDescent="0.45">
      <c r="B165">
        <v>61300060</v>
      </c>
      <c r="C165" t="s">
        <v>1244</v>
      </c>
      <c r="F165" s="5">
        <v>-231016.74</v>
      </c>
      <c r="G165" s="16">
        <f t="shared" si="7"/>
        <v>-459679</v>
      </c>
      <c r="H165" s="54">
        <f t="shared" si="8"/>
        <v>-690695.74</v>
      </c>
      <c r="I165" t="str">
        <f t="shared" si="9"/>
        <v>Company Vehicles: Rental</v>
      </c>
      <c r="J165" t="s">
        <v>1193</v>
      </c>
      <c r="K165" t="str">
        <f t="shared" si="10"/>
        <v>Salaries: Management &amp; Office</v>
      </c>
    </row>
    <row r="166" spans="2:11" x14ac:dyDescent="0.45">
      <c r="B166">
        <v>61300070</v>
      </c>
      <c r="C166" t="s">
        <v>1245</v>
      </c>
      <c r="F166" s="5">
        <v>473095.75</v>
      </c>
      <c r="G166" s="16">
        <f t="shared" si="7"/>
        <v>459679</v>
      </c>
      <c r="H166" s="54">
        <f t="shared" si="8"/>
        <v>932774.75</v>
      </c>
      <c r="I166" t="str">
        <f t="shared" si="9"/>
        <v>Company Vehicles: Servicing &amp; Repairs</v>
      </c>
      <c r="J166" t="s">
        <v>1194</v>
      </c>
      <c r="K166" t="str">
        <f t="shared" si="10"/>
        <v>Salaries: Service Crew</v>
      </c>
    </row>
    <row r="167" spans="2:11" x14ac:dyDescent="0.45">
      <c r="B167">
        <v>61300080</v>
      </c>
      <c r="C167" t="s">
        <v>1246</v>
      </c>
      <c r="F167" s="5">
        <v>-459146</v>
      </c>
      <c r="G167" s="16">
        <f t="shared" si="7"/>
        <v>-459679</v>
      </c>
      <c r="H167" s="54">
        <f t="shared" si="8"/>
        <v>-918825</v>
      </c>
      <c r="I167" t="str">
        <f t="shared" si="9"/>
        <v>Company Vehicles: Upkeep Others</v>
      </c>
      <c r="J167" t="s">
        <v>1195</v>
      </c>
      <c r="K167" t="str">
        <f t="shared" si="10"/>
        <v>Salaries: Service Management</v>
      </c>
    </row>
    <row r="168" spans="2:11" x14ac:dyDescent="0.45">
      <c r="B168">
        <v>61300130</v>
      </c>
      <c r="C168" t="s">
        <v>1247</v>
      </c>
      <c r="F168" s="5">
        <v>460648.41</v>
      </c>
      <c r="G168" s="16">
        <f t="shared" si="7"/>
        <v>459679</v>
      </c>
      <c r="H168" s="54">
        <f t="shared" si="8"/>
        <v>920327.40999999992</v>
      </c>
      <c r="I168" t="str">
        <f t="shared" si="9"/>
        <v>Tools &amp; Supplies: Operations</v>
      </c>
      <c r="J168" t="s">
        <v>1196</v>
      </c>
      <c r="K168" t="str">
        <f t="shared" si="10"/>
        <v>Salaries: Other</v>
      </c>
    </row>
    <row r="169" spans="2:11" x14ac:dyDescent="0.45">
      <c r="B169">
        <v>61300150</v>
      </c>
      <c r="C169" t="s">
        <v>1248</v>
      </c>
      <c r="F169" s="5">
        <v>-456683.5</v>
      </c>
      <c r="G169" s="16">
        <f t="shared" si="7"/>
        <v>-459679</v>
      </c>
      <c r="H169" s="54">
        <f t="shared" si="8"/>
        <v>-916362.5</v>
      </c>
      <c r="I169" t="str">
        <f t="shared" si="9"/>
        <v>Rental: Non-Office Equipment</v>
      </c>
      <c r="J169" t="s">
        <v>1197</v>
      </c>
      <c r="K169" t="str">
        <f t="shared" si="10"/>
        <v>Direct Allocation Charges</v>
      </c>
    </row>
    <row r="170" spans="2:11" x14ac:dyDescent="0.45">
      <c r="B170">
        <v>61300160</v>
      </c>
      <c r="C170" t="s">
        <v>1249</v>
      </c>
      <c r="F170" s="5">
        <v>4993432.95</v>
      </c>
      <c r="G170" s="16">
        <f t="shared" si="7"/>
        <v>459679</v>
      </c>
      <c r="H170" s="54">
        <f t="shared" si="8"/>
        <v>5453111.9500000002</v>
      </c>
      <c r="I170" t="str">
        <f t="shared" si="9"/>
        <v>Delivery Agents Commission</v>
      </c>
      <c r="J170" t="s">
        <v>1198</v>
      </c>
      <c r="K170" t="str">
        <f t="shared" si="10"/>
        <v>Staff Acting Allowance</v>
      </c>
    </row>
    <row r="171" spans="2:11" x14ac:dyDescent="0.45">
      <c r="B171">
        <v>61400040</v>
      </c>
      <c r="C171" t="s">
        <v>1250</v>
      </c>
      <c r="F171" s="5">
        <v>8911987.2699999996</v>
      </c>
      <c r="G171" s="16">
        <f t="shared" si="7"/>
        <v>-459679</v>
      </c>
      <c r="H171" s="54">
        <f t="shared" si="8"/>
        <v>8452308.2699999996</v>
      </c>
      <c r="I171" t="str">
        <f t="shared" si="9"/>
        <v>Outlets Rental: Fixed</v>
      </c>
      <c r="J171" t="s">
        <v>1199</v>
      </c>
      <c r="K171" t="str">
        <f t="shared" si="10"/>
        <v>Staff Attendance Allowance</v>
      </c>
    </row>
    <row r="172" spans="2:11" x14ac:dyDescent="0.45">
      <c r="B172">
        <v>61400045</v>
      </c>
      <c r="C172" t="s">
        <v>1251</v>
      </c>
      <c r="F172" s="5">
        <v>1750654.37</v>
      </c>
      <c r="G172" s="16">
        <f t="shared" si="7"/>
        <v>459679</v>
      </c>
      <c r="H172" s="54">
        <f t="shared" si="8"/>
        <v>2210333.37</v>
      </c>
      <c r="I172" t="str">
        <f t="shared" si="9"/>
        <v>Retail Rental: Consignment &amp; Concession</v>
      </c>
      <c r="J172" t="s">
        <v>1200</v>
      </c>
      <c r="K172" t="str">
        <f t="shared" si="10"/>
        <v>Staff Housing Allowance</v>
      </c>
    </row>
    <row r="173" spans="2:11" x14ac:dyDescent="0.45">
      <c r="B173">
        <v>61400050</v>
      </c>
      <c r="C173" t="s">
        <v>1252</v>
      </c>
      <c r="F173" s="5">
        <v>135691.38</v>
      </c>
      <c r="G173" s="16">
        <f t="shared" si="7"/>
        <v>-459679</v>
      </c>
      <c r="H173" s="54">
        <f t="shared" si="8"/>
        <v>-323987.62</v>
      </c>
      <c r="I173" t="str">
        <f t="shared" si="9"/>
        <v>Outlets Rental: GTO Variable</v>
      </c>
      <c r="J173" t="s">
        <v>1201</v>
      </c>
      <c r="K173" t="str">
        <f t="shared" si="10"/>
        <v>Staff Meal Allowance</v>
      </c>
    </row>
    <row r="174" spans="2:11" x14ac:dyDescent="0.45">
      <c r="B174">
        <v>61400055</v>
      </c>
      <c r="C174" t="s">
        <v>1253</v>
      </c>
      <c r="F174" s="5">
        <v>465543.25</v>
      </c>
      <c r="G174" s="16">
        <f t="shared" si="7"/>
        <v>459679</v>
      </c>
      <c r="H174" s="54">
        <f t="shared" si="8"/>
        <v>925222.25</v>
      </c>
      <c r="I174" t="str">
        <f t="shared" si="9"/>
        <v>Rental Related Administrative Expense</v>
      </c>
      <c r="J174" t="s">
        <v>1202</v>
      </c>
      <c r="K174" t="str">
        <f t="shared" si="10"/>
        <v>Staff Mobile Charges</v>
      </c>
    </row>
    <row r="175" spans="2:11" x14ac:dyDescent="0.45">
      <c r="B175">
        <v>61400060</v>
      </c>
      <c r="C175" t="s">
        <v>1254</v>
      </c>
      <c r="F175" s="5">
        <v>-457887</v>
      </c>
      <c r="G175" s="16">
        <f t="shared" si="7"/>
        <v>-459679</v>
      </c>
      <c r="H175" s="54">
        <f t="shared" si="8"/>
        <v>-917566</v>
      </c>
      <c r="I175" t="str">
        <f t="shared" si="9"/>
        <v>Warehouse Storage Rental</v>
      </c>
      <c r="J175" t="s">
        <v>1203</v>
      </c>
      <c r="K175" t="str">
        <f t="shared" si="10"/>
        <v>Staff Performance Incentive</v>
      </c>
    </row>
    <row r="176" spans="2:11" x14ac:dyDescent="0.45">
      <c r="B176">
        <v>61400070</v>
      </c>
      <c r="C176" t="s">
        <v>1255</v>
      </c>
      <c r="F176" s="5">
        <v>593719</v>
      </c>
      <c r="G176" s="16">
        <f t="shared" si="7"/>
        <v>459679</v>
      </c>
      <c r="H176" s="54">
        <f t="shared" si="8"/>
        <v>1053398</v>
      </c>
      <c r="I176" t="str">
        <f t="shared" si="9"/>
        <v>Office Rental</v>
      </c>
      <c r="J176" t="s">
        <v>1204</v>
      </c>
      <c r="K176" t="str">
        <f t="shared" si="10"/>
        <v>Staff Relocation Allowance</v>
      </c>
    </row>
    <row r="177" spans="2:11" x14ac:dyDescent="0.45">
      <c r="B177">
        <v>61400110</v>
      </c>
      <c r="C177" t="s">
        <v>1256</v>
      </c>
      <c r="F177" s="5">
        <v>-434702.94</v>
      </c>
      <c r="G177" s="16">
        <f t="shared" si="7"/>
        <v>-459679</v>
      </c>
      <c r="H177" s="54">
        <f t="shared" si="8"/>
        <v>-894381.94</v>
      </c>
      <c r="I177" t="str">
        <f t="shared" si="9"/>
        <v>Utilities: Office</v>
      </c>
      <c r="J177" t="s">
        <v>1205</v>
      </c>
      <c r="K177" t="str">
        <f t="shared" si="10"/>
        <v>Staff Transport / Travel Allowance</v>
      </c>
    </row>
    <row r="178" spans="2:11" x14ac:dyDescent="0.45">
      <c r="B178">
        <v>61400130</v>
      </c>
      <c r="C178" t="s">
        <v>1257</v>
      </c>
      <c r="F178" s="5">
        <v>2271058.04</v>
      </c>
      <c r="G178" s="16">
        <f t="shared" ref="G178:G241" si="11">-G177</f>
        <v>459679</v>
      </c>
      <c r="H178" s="54">
        <f t="shared" si="8"/>
        <v>2730737.04</v>
      </c>
      <c r="I178" t="str">
        <f t="shared" si="9"/>
        <v>Utilities: Retail Outlets</v>
      </c>
      <c r="J178" t="s">
        <v>1206</v>
      </c>
      <c r="K178" t="str">
        <f t="shared" si="10"/>
        <v>Staff Other Allowances</v>
      </c>
    </row>
    <row r="179" spans="2:11" x14ac:dyDescent="0.45">
      <c r="B179">
        <v>61700010</v>
      </c>
      <c r="C179" t="s">
        <v>1258</v>
      </c>
      <c r="F179" s="5">
        <v>-459634.14</v>
      </c>
      <c r="G179" s="16">
        <f t="shared" si="11"/>
        <v>-459679</v>
      </c>
      <c r="H179" s="54">
        <f t="shared" si="8"/>
        <v>-919313.14</v>
      </c>
      <c r="I179" t="str">
        <f t="shared" si="9"/>
        <v>Accounting Fee</v>
      </c>
      <c r="J179" t="s">
        <v>1207</v>
      </c>
      <c r="K179" t="str">
        <f t="shared" si="10"/>
        <v>OT Pay: Dishwashers</v>
      </c>
    </row>
    <row r="180" spans="2:11" x14ac:dyDescent="0.45">
      <c r="B180">
        <v>61700020</v>
      </c>
      <c r="C180" t="s">
        <v>1259</v>
      </c>
      <c r="F180" s="5">
        <v>461711.66</v>
      </c>
      <c r="G180" s="16">
        <f t="shared" si="11"/>
        <v>459679</v>
      </c>
      <c r="H180" s="54">
        <f t="shared" si="8"/>
        <v>921390.65999999992</v>
      </c>
      <c r="I180" t="str">
        <f t="shared" si="9"/>
        <v>Admin Fee</v>
      </c>
      <c r="J180" t="s">
        <v>1208</v>
      </c>
      <c r="K180" t="str">
        <f t="shared" si="10"/>
        <v>OT Pay: Doughworkz</v>
      </c>
    </row>
    <row r="181" spans="2:11" x14ac:dyDescent="0.45">
      <c r="B181">
        <v>61700030</v>
      </c>
      <c r="C181" t="s">
        <v>1260</v>
      </c>
      <c r="F181" s="5">
        <v>-356879</v>
      </c>
      <c r="G181" s="16">
        <f t="shared" si="11"/>
        <v>-459679</v>
      </c>
      <c r="H181" s="54">
        <f t="shared" si="8"/>
        <v>-816558</v>
      </c>
      <c r="I181" t="str">
        <f t="shared" si="9"/>
        <v>Audit Fee</v>
      </c>
      <c r="J181" t="s">
        <v>1209</v>
      </c>
      <c r="K181" t="str">
        <f t="shared" si="10"/>
        <v>OT Pay: Drivers</v>
      </c>
    </row>
    <row r="182" spans="2:11" x14ac:dyDescent="0.45">
      <c r="B182">
        <v>61700040</v>
      </c>
      <c r="C182" t="s">
        <v>1261</v>
      </c>
      <c r="F182" s="5">
        <v>470584.5</v>
      </c>
      <c r="G182" s="16">
        <f t="shared" si="11"/>
        <v>459679</v>
      </c>
      <c r="H182" s="54">
        <f t="shared" si="8"/>
        <v>930263.5</v>
      </c>
      <c r="I182" t="str">
        <f t="shared" si="9"/>
        <v>Corporate Secretarial Fee</v>
      </c>
      <c r="J182" t="s">
        <v>1210</v>
      </c>
      <c r="K182" t="str">
        <f t="shared" si="10"/>
        <v>OT Pay: Harvest</v>
      </c>
    </row>
    <row r="183" spans="2:11" x14ac:dyDescent="0.45">
      <c r="B183">
        <v>61700050</v>
      </c>
      <c r="C183" t="s">
        <v>1262</v>
      </c>
      <c r="F183" s="5">
        <v>-416329</v>
      </c>
      <c r="G183" s="16">
        <f t="shared" si="11"/>
        <v>-459679</v>
      </c>
      <c r="H183" s="54">
        <f t="shared" si="8"/>
        <v>-876008</v>
      </c>
      <c r="I183" t="str">
        <f t="shared" si="9"/>
        <v>Human Resource Fee</v>
      </c>
      <c r="J183" t="s">
        <v>1211</v>
      </c>
      <c r="K183" t="str">
        <f t="shared" si="10"/>
        <v>OT Pay: Kitchen Crew</v>
      </c>
    </row>
    <row r="184" spans="2:11" x14ac:dyDescent="0.45">
      <c r="B184">
        <v>61700060</v>
      </c>
      <c r="C184" t="s">
        <v>1263</v>
      </c>
      <c r="F184" s="5">
        <v>465086</v>
      </c>
      <c r="G184" s="16">
        <f t="shared" si="11"/>
        <v>459679</v>
      </c>
      <c r="H184" s="54">
        <f t="shared" si="8"/>
        <v>924765</v>
      </c>
      <c r="I184" t="str">
        <f t="shared" si="9"/>
        <v>IP Registration Cost (New)</v>
      </c>
      <c r="J184" t="s">
        <v>1212</v>
      </c>
      <c r="K184" t="str">
        <f t="shared" si="10"/>
        <v>OT Pay: Kitchen Management</v>
      </c>
    </row>
    <row r="185" spans="2:11" x14ac:dyDescent="0.45">
      <c r="B185">
        <v>61700070</v>
      </c>
      <c r="C185" t="s">
        <v>1264</v>
      </c>
      <c r="F185" s="5">
        <v>-458479</v>
      </c>
      <c r="G185" s="16">
        <f t="shared" si="11"/>
        <v>-459679</v>
      </c>
      <c r="H185" s="54">
        <f t="shared" si="8"/>
        <v>-918158</v>
      </c>
      <c r="I185" t="str">
        <f t="shared" si="9"/>
        <v>IP Registration Cost (Renewal)</v>
      </c>
      <c r="J185" t="s">
        <v>1213</v>
      </c>
      <c r="K185" t="str">
        <f t="shared" si="10"/>
        <v>OT Pay: Management &amp; Office</v>
      </c>
    </row>
    <row r="186" spans="2:11" x14ac:dyDescent="0.45">
      <c r="B186">
        <v>61700080</v>
      </c>
      <c r="C186" t="s">
        <v>1265</v>
      </c>
      <c r="F186" s="5">
        <v>784268.67999999993</v>
      </c>
      <c r="G186" s="16">
        <f t="shared" si="11"/>
        <v>459679</v>
      </c>
      <c r="H186" s="54">
        <f t="shared" si="8"/>
        <v>1243947.68</v>
      </c>
      <c r="I186" t="str">
        <f t="shared" si="9"/>
        <v>IT Support &amp; Maintenance</v>
      </c>
      <c r="J186" t="s">
        <v>1214</v>
      </c>
      <c r="K186" t="str">
        <f t="shared" si="10"/>
        <v>OT Pay: Service Crew</v>
      </c>
    </row>
    <row r="187" spans="2:11" x14ac:dyDescent="0.45">
      <c r="B187">
        <v>61700090</v>
      </c>
      <c r="C187" t="s">
        <v>1266</v>
      </c>
      <c r="F187" s="5">
        <v>-422868.9</v>
      </c>
      <c r="G187" s="16">
        <f t="shared" si="11"/>
        <v>-459679</v>
      </c>
      <c r="H187" s="54">
        <f t="shared" si="8"/>
        <v>-882547.9</v>
      </c>
      <c r="I187" t="str">
        <f t="shared" si="9"/>
        <v>Legal &amp; Consultancy Fee</v>
      </c>
      <c r="J187" t="s">
        <v>1215</v>
      </c>
      <c r="K187" t="str">
        <f t="shared" si="10"/>
        <v>OT Pay: Service Management</v>
      </c>
    </row>
    <row r="188" spans="2:11" x14ac:dyDescent="0.45">
      <c r="B188">
        <v>61700100</v>
      </c>
      <c r="C188" t="s">
        <v>1267</v>
      </c>
      <c r="F188" s="5">
        <v>4350697.7799999993</v>
      </c>
      <c r="G188" s="16">
        <f t="shared" si="11"/>
        <v>459679</v>
      </c>
      <c r="H188" s="54">
        <f t="shared" si="8"/>
        <v>4810376.7799999993</v>
      </c>
      <c r="I188" t="str">
        <f t="shared" si="9"/>
        <v>Management Fee</v>
      </c>
      <c r="J188" t="s">
        <v>1216</v>
      </c>
      <c r="K188" t="str">
        <f t="shared" si="10"/>
        <v>Labour Chgs/Part-Timer/Internship</v>
      </c>
    </row>
    <row r="189" spans="2:11" x14ac:dyDescent="0.45">
      <c r="B189">
        <v>61700120</v>
      </c>
      <c r="C189" t="s">
        <v>1268</v>
      </c>
      <c r="F189" s="5">
        <v>-304131.84999999998</v>
      </c>
      <c r="G189" s="16">
        <f t="shared" si="11"/>
        <v>-459679</v>
      </c>
      <c r="H189" s="54">
        <f t="shared" si="8"/>
        <v>-763810.85</v>
      </c>
      <c r="I189" t="str">
        <f t="shared" si="9"/>
        <v>Prof &amp; Consultancy Fee</v>
      </c>
      <c r="J189" t="s">
        <v>1217</v>
      </c>
      <c r="K189" t="str">
        <f t="shared" si="10"/>
        <v>Staff AWS</v>
      </c>
    </row>
    <row r="190" spans="2:11" x14ac:dyDescent="0.45">
      <c r="B190">
        <v>61700130</v>
      </c>
      <c r="C190" t="s">
        <v>1269</v>
      </c>
      <c r="F190" s="5">
        <v>670256.74</v>
      </c>
      <c r="G190" s="16">
        <f t="shared" si="11"/>
        <v>459679</v>
      </c>
      <c r="H190" s="54">
        <f t="shared" si="8"/>
        <v>1129935.74</v>
      </c>
      <c r="I190" t="str">
        <f t="shared" si="9"/>
        <v>Service Fee</v>
      </c>
      <c r="J190" t="s">
        <v>1218</v>
      </c>
      <c r="K190" t="str">
        <f t="shared" si="10"/>
        <v>Staff Variable Bonus</v>
      </c>
    </row>
    <row r="191" spans="2:11" x14ac:dyDescent="0.45">
      <c r="B191">
        <v>61700140</v>
      </c>
      <c r="C191" t="s">
        <v>1270</v>
      </c>
      <c r="F191" s="5">
        <v>-451179</v>
      </c>
      <c r="G191" s="16">
        <f t="shared" si="11"/>
        <v>-459679</v>
      </c>
      <c r="H191" s="54">
        <f t="shared" si="8"/>
        <v>-910858</v>
      </c>
      <c r="I191" t="str">
        <f t="shared" si="9"/>
        <v>Tax Consultancy Fee</v>
      </c>
      <c r="J191" t="s">
        <v>1219</v>
      </c>
      <c r="K191" t="str">
        <f t="shared" si="10"/>
        <v>Staff CPF (E'er)</v>
      </c>
    </row>
    <row r="192" spans="2:11" x14ac:dyDescent="0.45">
      <c r="B192">
        <v>61700160</v>
      </c>
      <c r="C192" t="s">
        <v>1271</v>
      </c>
      <c r="F192" s="5">
        <v>599995.94999999995</v>
      </c>
      <c r="G192" s="16">
        <f t="shared" si="11"/>
        <v>459679</v>
      </c>
      <c r="H192" s="54">
        <f t="shared" si="8"/>
        <v>1059674.95</v>
      </c>
      <c r="I192" t="str">
        <f t="shared" si="9"/>
        <v>Cleaning Chemical Supplies</v>
      </c>
      <c r="J192" t="s">
        <v>1220</v>
      </c>
      <c r="K192" t="str">
        <f t="shared" si="10"/>
        <v>Staff Appreciation Award</v>
      </c>
    </row>
    <row r="193" spans="2:11" x14ac:dyDescent="0.45">
      <c r="B193">
        <v>61700180</v>
      </c>
      <c r="C193" t="s">
        <v>1272</v>
      </c>
      <c r="F193" s="5">
        <v>-330634.21000000002</v>
      </c>
      <c r="G193" s="16">
        <f t="shared" si="11"/>
        <v>-459679</v>
      </c>
      <c r="H193" s="54">
        <f t="shared" si="8"/>
        <v>-790313.21</v>
      </c>
      <c r="I193" t="str">
        <f t="shared" si="9"/>
        <v>Store Suplies: Cutlery</v>
      </c>
      <c r="J193" t="s">
        <v>1221</v>
      </c>
      <c r="K193" t="str">
        <f t="shared" si="10"/>
        <v>Staff Incentives / Commission</v>
      </c>
    </row>
    <row r="194" spans="2:11" x14ac:dyDescent="0.45">
      <c r="B194">
        <v>61700190</v>
      </c>
      <c r="C194" t="s">
        <v>1273</v>
      </c>
      <c r="F194" s="5">
        <v>621577.13</v>
      </c>
      <c r="G194" s="16">
        <f t="shared" si="11"/>
        <v>459679</v>
      </c>
      <c r="H194" s="54">
        <f t="shared" si="8"/>
        <v>1081256.1299999999</v>
      </c>
      <c r="I194" t="str">
        <f t="shared" si="9"/>
        <v>Small Items Expensed Off</v>
      </c>
      <c r="J194" t="s">
        <v>1222</v>
      </c>
      <c r="K194" t="str">
        <f t="shared" si="10"/>
        <v>Staff Insurance</v>
      </c>
    </row>
    <row r="195" spans="2:11" x14ac:dyDescent="0.45">
      <c r="B195">
        <v>61700200</v>
      </c>
      <c r="C195" t="s">
        <v>1274</v>
      </c>
      <c r="F195" s="5">
        <v>-418173.87</v>
      </c>
      <c r="G195" s="16">
        <f t="shared" si="11"/>
        <v>-459679</v>
      </c>
      <c r="H195" s="54">
        <f t="shared" si="8"/>
        <v>-877852.87</v>
      </c>
      <c r="I195" t="str">
        <f t="shared" si="9"/>
        <v>Insurance: Gen,Fire,Theft, Public Liab</v>
      </c>
      <c r="J195" t="s">
        <v>1223</v>
      </c>
      <c r="K195" t="str">
        <f t="shared" si="10"/>
        <v>Staff Laundry Expense</v>
      </c>
    </row>
    <row r="196" spans="2:11" x14ac:dyDescent="0.45">
      <c r="B196">
        <v>61700220</v>
      </c>
      <c r="C196" t="s">
        <v>1275</v>
      </c>
      <c r="F196" s="5">
        <v>463399.2</v>
      </c>
      <c r="G196" s="16">
        <f t="shared" si="11"/>
        <v>459679</v>
      </c>
      <c r="H196" s="54">
        <f t="shared" si="8"/>
        <v>923078.2</v>
      </c>
      <c r="I196" t="str">
        <f t="shared" si="9"/>
        <v>Pantry Supplies</v>
      </c>
      <c r="J196" t="s">
        <v>1224</v>
      </c>
      <c r="K196" t="str">
        <f t="shared" si="10"/>
        <v>Staff Meal</v>
      </c>
    </row>
    <row r="197" spans="2:11" x14ac:dyDescent="0.45">
      <c r="B197">
        <v>61700230</v>
      </c>
      <c r="C197" t="s">
        <v>1276</v>
      </c>
      <c r="F197" s="5">
        <v>-448510.3</v>
      </c>
      <c r="G197" s="16">
        <f t="shared" si="11"/>
        <v>-459679</v>
      </c>
      <c r="H197" s="54">
        <f t="shared" si="8"/>
        <v>-908189.3</v>
      </c>
      <c r="I197" t="str">
        <f t="shared" si="9"/>
        <v>Rental: Office Equipment</v>
      </c>
      <c r="J197" t="s">
        <v>1225</v>
      </c>
      <c r="K197" t="str">
        <f t="shared" si="10"/>
        <v>Staff Welfare</v>
      </c>
    </row>
    <row r="198" spans="2:11" x14ac:dyDescent="0.45">
      <c r="B198">
        <v>61700240</v>
      </c>
      <c r="C198" t="s">
        <v>1277</v>
      </c>
      <c r="F198" s="5">
        <v>978290.97</v>
      </c>
      <c r="G198" s="16">
        <f t="shared" si="11"/>
        <v>459679</v>
      </c>
      <c r="H198" s="54">
        <f t="shared" si="8"/>
        <v>1437969.97</v>
      </c>
      <c r="I198" t="str">
        <f t="shared" si="9"/>
        <v>Repair &amp; Maintenance: Office Equipment</v>
      </c>
      <c r="J198" t="s">
        <v>1226</v>
      </c>
      <c r="K198" t="str">
        <f t="shared" si="10"/>
        <v>Staff Medical</v>
      </c>
    </row>
    <row r="199" spans="2:11" x14ac:dyDescent="0.45">
      <c r="B199">
        <v>61700250</v>
      </c>
      <c r="C199" t="s">
        <v>1278</v>
      </c>
      <c r="F199" s="5">
        <v>-35761.489999999991</v>
      </c>
      <c r="G199" s="16">
        <f t="shared" si="11"/>
        <v>-459679</v>
      </c>
      <c r="H199" s="54">
        <f t="shared" ref="H199:H242" si="12">SUM(F199:G199)</f>
        <v>-495440.49</v>
      </c>
      <c r="I199" t="str">
        <f t="shared" ref="I199:I262" si="13">VLOOKUP(C199,$J$6:$J$351,1,FALSE)</f>
        <v>Tools, Supplies, Consumables</v>
      </c>
      <c r="J199" t="s">
        <v>1227</v>
      </c>
      <c r="K199" t="str">
        <f t="shared" ref="K199:K262" si="14">VLOOKUP(J199,$C$6:$C$242,1,FALSE)</f>
        <v>Staff Transport Expense</v>
      </c>
    </row>
    <row r="200" spans="2:11" x14ac:dyDescent="0.45">
      <c r="B200">
        <v>61700260</v>
      </c>
      <c r="C200" t="s">
        <v>1279</v>
      </c>
      <c r="F200" s="5">
        <v>1726061.54</v>
      </c>
      <c r="G200" s="16">
        <f t="shared" si="11"/>
        <v>459679</v>
      </c>
      <c r="H200" s="54">
        <f t="shared" si="12"/>
        <v>2185740.54</v>
      </c>
      <c r="I200" t="str">
        <f t="shared" si="13"/>
        <v>Upkeep of Premise / Cleaning</v>
      </c>
      <c r="J200" t="s">
        <v>1228</v>
      </c>
      <c r="K200" t="str">
        <f t="shared" si="14"/>
        <v>Staff Unutilised Leave</v>
      </c>
    </row>
    <row r="201" spans="2:11" x14ac:dyDescent="0.45">
      <c r="B201">
        <v>61700270</v>
      </c>
      <c r="C201" t="s">
        <v>1280</v>
      </c>
      <c r="F201" s="5">
        <v>-402043.21</v>
      </c>
      <c r="G201" s="16">
        <f t="shared" si="11"/>
        <v>-459679</v>
      </c>
      <c r="H201" s="54">
        <f t="shared" si="12"/>
        <v>-861722.21</v>
      </c>
      <c r="I201" t="str">
        <f t="shared" si="13"/>
        <v>Postage &amp; Courier</v>
      </c>
      <c r="J201" t="s">
        <v>1229</v>
      </c>
      <c r="K201" t="str">
        <f t="shared" si="14"/>
        <v>Foreign Worker Levy</v>
      </c>
    </row>
    <row r="202" spans="2:11" x14ac:dyDescent="0.45">
      <c r="B202">
        <v>61700280</v>
      </c>
      <c r="C202" t="s">
        <v>1281</v>
      </c>
      <c r="F202" s="5">
        <v>516816.97</v>
      </c>
      <c r="G202" s="16">
        <f t="shared" si="11"/>
        <v>459679</v>
      </c>
      <c r="H202" s="54">
        <f t="shared" si="12"/>
        <v>976495.97</v>
      </c>
      <c r="I202" t="str">
        <f t="shared" si="13"/>
        <v>Printing &amp; Stationery</v>
      </c>
      <c r="J202" t="s">
        <v>1230</v>
      </c>
      <c r="K202" t="str">
        <f t="shared" si="14"/>
        <v>Staff Recommendation Incentive</v>
      </c>
    </row>
    <row r="203" spans="2:11" x14ac:dyDescent="0.45">
      <c r="B203">
        <v>61700290</v>
      </c>
      <c r="C203" t="s">
        <v>1282</v>
      </c>
      <c r="F203" s="5">
        <v>-367945.32</v>
      </c>
      <c r="G203" s="16">
        <f t="shared" si="11"/>
        <v>-459679</v>
      </c>
      <c r="H203" s="54">
        <f t="shared" si="12"/>
        <v>-827624.32000000007</v>
      </c>
      <c r="I203" t="str">
        <f t="shared" si="13"/>
        <v>Telecommunication Charges</v>
      </c>
      <c r="J203" t="s">
        <v>1340</v>
      </c>
      <c r="K203" t="e">
        <f t="shared" si="14"/>
        <v>#N/A</v>
      </c>
    </row>
    <row r="204" spans="2:11" x14ac:dyDescent="0.45">
      <c r="B204">
        <v>61700300</v>
      </c>
      <c r="C204" t="s">
        <v>1283</v>
      </c>
      <c r="F204" s="5">
        <v>556801.77</v>
      </c>
      <c r="G204" s="16">
        <f t="shared" si="11"/>
        <v>459679</v>
      </c>
      <c r="H204" s="54">
        <f t="shared" si="12"/>
        <v>1016480.77</v>
      </c>
      <c r="I204" t="str">
        <f t="shared" si="13"/>
        <v>Licence Fees &amp; Permits (New)</v>
      </c>
      <c r="J204" t="s">
        <v>1341</v>
      </c>
      <c r="K204" t="e">
        <f t="shared" si="14"/>
        <v>#N/A</v>
      </c>
    </row>
    <row r="205" spans="2:11" x14ac:dyDescent="0.45">
      <c r="B205">
        <v>61700310</v>
      </c>
      <c r="C205" t="s">
        <v>1284</v>
      </c>
      <c r="F205" s="5">
        <v>-414148.37</v>
      </c>
      <c r="G205" s="16">
        <f t="shared" si="11"/>
        <v>-459679</v>
      </c>
      <c r="H205" s="54">
        <f t="shared" si="12"/>
        <v>-873827.37</v>
      </c>
      <c r="I205" t="str">
        <f t="shared" si="13"/>
        <v>Licence Fees &amp; Permits (Renewal)</v>
      </c>
      <c r="J205" t="s">
        <v>1342</v>
      </c>
      <c r="K205" t="e">
        <f t="shared" si="14"/>
        <v>#N/A</v>
      </c>
    </row>
    <row r="206" spans="2:11" x14ac:dyDescent="0.45">
      <c r="B206">
        <v>61700320</v>
      </c>
      <c r="C206" t="s">
        <v>1285</v>
      </c>
      <c r="F206" s="5">
        <v>463514.94</v>
      </c>
      <c r="G206" s="16">
        <f t="shared" si="11"/>
        <v>459679</v>
      </c>
      <c r="H206" s="54">
        <f t="shared" si="12"/>
        <v>923193.94</v>
      </c>
      <c r="I206" t="str">
        <f t="shared" si="13"/>
        <v>Membership Subscriptions</v>
      </c>
      <c r="J206" t="s">
        <v>1367</v>
      </c>
      <c r="K206" t="e">
        <f t="shared" si="14"/>
        <v>#N/A</v>
      </c>
    </row>
    <row r="207" spans="2:11" x14ac:dyDescent="0.45">
      <c r="B207">
        <v>61700330</v>
      </c>
      <c r="C207" t="s">
        <v>1286</v>
      </c>
      <c r="F207" s="5">
        <v>-403182</v>
      </c>
      <c r="G207" s="16">
        <f t="shared" si="11"/>
        <v>-459679</v>
      </c>
      <c r="H207" s="54">
        <f t="shared" si="12"/>
        <v>-862861</v>
      </c>
      <c r="I207" t="str">
        <f t="shared" si="13"/>
        <v>Stamp Duty</v>
      </c>
      <c r="J207" t="s">
        <v>1368</v>
      </c>
      <c r="K207" t="e">
        <f t="shared" si="14"/>
        <v>#N/A</v>
      </c>
    </row>
    <row r="208" spans="2:11" x14ac:dyDescent="0.45">
      <c r="B208">
        <v>61700340</v>
      </c>
      <c r="C208" t="s">
        <v>1287</v>
      </c>
      <c r="F208" s="5">
        <v>463188.31</v>
      </c>
      <c r="G208" s="16">
        <f t="shared" si="11"/>
        <v>459679</v>
      </c>
      <c r="H208" s="54">
        <f t="shared" si="12"/>
        <v>922867.31</v>
      </c>
      <c r="I208" t="str">
        <f t="shared" si="13"/>
        <v>Penalties &amp; Fines</v>
      </c>
      <c r="J208" t="s">
        <v>1369</v>
      </c>
      <c r="K208" t="e">
        <f t="shared" si="14"/>
        <v>#N/A</v>
      </c>
    </row>
    <row r="209" spans="2:11" x14ac:dyDescent="0.45">
      <c r="B209">
        <v>61700360</v>
      </c>
      <c r="C209" t="s">
        <v>1288</v>
      </c>
      <c r="F209" s="5">
        <v>-378851.75</v>
      </c>
      <c r="G209" s="16">
        <f t="shared" si="11"/>
        <v>-459679</v>
      </c>
      <c r="H209" s="54">
        <f t="shared" si="12"/>
        <v>-838530.75</v>
      </c>
      <c r="I209" t="str">
        <f t="shared" si="13"/>
        <v>Bank Charges</v>
      </c>
      <c r="J209" t="s">
        <v>1370</v>
      </c>
      <c r="K209" t="e">
        <f t="shared" si="14"/>
        <v>#N/A</v>
      </c>
    </row>
    <row r="210" spans="2:11" x14ac:dyDescent="0.45">
      <c r="B210">
        <v>61700370</v>
      </c>
      <c r="C210" t="s">
        <v>1289</v>
      </c>
      <c r="F210" s="5">
        <v>480357.66</v>
      </c>
      <c r="G210" s="16">
        <f t="shared" si="11"/>
        <v>459679</v>
      </c>
      <c r="H210" s="54">
        <f t="shared" si="12"/>
        <v>940036.65999999992</v>
      </c>
      <c r="I210" t="str">
        <f t="shared" si="13"/>
        <v>NETS Charges</v>
      </c>
      <c r="J210" t="s">
        <v>1371</v>
      </c>
      <c r="K210" t="e">
        <f t="shared" si="14"/>
        <v>#N/A</v>
      </c>
    </row>
    <row r="211" spans="2:11" x14ac:dyDescent="0.45">
      <c r="B211">
        <v>61700380</v>
      </c>
      <c r="C211" t="s">
        <v>1290</v>
      </c>
      <c r="F211" s="5">
        <v>31433.179999999993</v>
      </c>
      <c r="G211" s="16">
        <f t="shared" si="11"/>
        <v>-459679</v>
      </c>
      <c r="H211" s="54">
        <f t="shared" si="12"/>
        <v>-428245.82</v>
      </c>
      <c r="I211" t="str">
        <f t="shared" si="13"/>
        <v>Visa, Master, Credit Card Charges</v>
      </c>
      <c r="J211" t="s">
        <v>1352</v>
      </c>
      <c r="K211" t="e">
        <f t="shared" si="14"/>
        <v>#N/A</v>
      </c>
    </row>
    <row r="212" spans="2:11" x14ac:dyDescent="0.45">
      <c r="B212">
        <v>61700390</v>
      </c>
      <c r="C212" t="s">
        <v>1291</v>
      </c>
      <c r="F212" s="5">
        <v>471621.58</v>
      </c>
      <c r="G212" s="16">
        <f t="shared" si="11"/>
        <v>459679</v>
      </c>
      <c r="H212" s="54">
        <f t="shared" si="12"/>
        <v>931300.58000000007</v>
      </c>
      <c r="I212" t="str">
        <f t="shared" si="13"/>
        <v>Bad &amp; Doubtful Debts</v>
      </c>
      <c r="J212" t="s">
        <v>1377</v>
      </c>
      <c r="K212" t="e">
        <f t="shared" si="14"/>
        <v>#N/A</v>
      </c>
    </row>
    <row r="213" spans="2:11" x14ac:dyDescent="0.45">
      <c r="B213">
        <v>61700400</v>
      </c>
      <c r="C213" t="s">
        <v>1560</v>
      </c>
      <c r="F213" s="5">
        <f>-459679+459679</f>
        <v>0</v>
      </c>
      <c r="G213" s="16">
        <f t="shared" si="11"/>
        <v>-459679</v>
      </c>
      <c r="H213" s="54">
        <f t="shared" si="12"/>
        <v>-459679</v>
      </c>
      <c r="I213" t="e">
        <f t="shared" si="13"/>
        <v>#N/A</v>
      </c>
      <c r="J213" t="s">
        <v>1231</v>
      </c>
      <c r="K213" t="str">
        <f t="shared" si="14"/>
        <v>Royalties Paid</v>
      </c>
    </row>
    <row r="214" spans="2:11" x14ac:dyDescent="0.45">
      <c r="B214">
        <v>61700410</v>
      </c>
      <c r="C214" t="s">
        <v>1292</v>
      </c>
      <c r="F214" s="5">
        <f>466089.6-459679</f>
        <v>6410.5999999999767</v>
      </c>
      <c r="G214" s="16">
        <f t="shared" si="11"/>
        <v>459679</v>
      </c>
      <c r="H214" s="54">
        <f t="shared" si="12"/>
        <v>466089.6</v>
      </c>
      <c r="I214" t="str">
        <f t="shared" si="13"/>
        <v>Donations</v>
      </c>
      <c r="J214" t="s">
        <v>1232</v>
      </c>
      <c r="K214" t="str">
        <f t="shared" si="14"/>
        <v>Merchandise Expense</v>
      </c>
    </row>
    <row r="215" spans="2:11" x14ac:dyDescent="0.45">
      <c r="B215">
        <v>61700420</v>
      </c>
      <c r="C215" t="s">
        <v>1293</v>
      </c>
      <c r="F215" s="5">
        <v>-441586.19</v>
      </c>
      <c r="G215" s="16">
        <f t="shared" si="11"/>
        <v>-459679</v>
      </c>
      <c r="H215" s="54">
        <f t="shared" si="12"/>
        <v>-901265.19</v>
      </c>
      <c r="I215" t="str">
        <f t="shared" si="13"/>
        <v>General Expenses</v>
      </c>
      <c r="J215" t="s">
        <v>1233</v>
      </c>
      <c r="K215" t="str">
        <f t="shared" si="14"/>
        <v>Promotions</v>
      </c>
    </row>
    <row r="216" spans="2:11" x14ac:dyDescent="0.45">
      <c r="B216">
        <v>61700430</v>
      </c>
      <c r="C216" t="s">
        <v>1294</v>
      </c>
      <c r="F216" s="5">
        <v>467418.5</v>
      </c>
      <c r="G216" s="16">
        <f t="shared" si="11"/>
        <v>459679</v>
      </c>
      <c r="H216" s="54">
        <f t="shared" si="12"/>
        <v>927097.5</v>
      </c>
      <c r="I216" t="str">
        <f t="shared" si="13"/>
        <v>Gifts &amp; Sponsorship</v>
      </c>
      <c r="J216" t="s">
        <v>1234</v>
      </c>
      <c r="K216" t="str">
        <f t="shared" si="14"/>
        <v>Overseas Travel: Airfare</v>
      </c>
    </row>
    <row r="217" spans="2:11" x14ac:dyDescent="0.45">
      <c r="B217">
        <v>61700440</v>
      </c>
      <c r="C217" t="s">
        <v>1295</v>
      </c>
      <c r="F217" s="5">
        <v>-437213.17</v>
      </c>
      <c r="G217" s="16">
        <f t="shared" si="11"/>
        <v>-459679</v>
      </c>
      <c r="H217" s="54">
        <f t="shared" si="12"/>
        <v>-896892.16999999993</v>
      </c>
      <c r="I217" t="str">
        <f t="shared" si="13"/>
        <v>Local Travelling</v>
      </c>
      <c r="J217" t="s">
        <v>1235</v>
      </c>
      <c r="K217" t="str">
        <f t="shared" si="14"/>
        <v>Entertainment</v>
      </c>
    </row>
    <row r="218" spans="2:11" x14ac:dyDescent="0.45">
      <c r="B218">
        <v>61700460</v>
      </c>
      <c r="C218" t="s">
        <v>1296</v>
      </c>
      <c r="F218" s="5">
        <v>463180.2</v>
      </c>
      <c r="G218" s="16">
        <f t="shared" si="11"/>
        <v>459679</v>
      </c>
      <c r="H218" s="54">
        <f t="shared" si="12"/>
        <v>922859.2</v>
      </c>
      <c r="I218" t="str">
        <f t="shared" si="13"/>
        <v>Disposal Loss / (Gain): FA</v>
      </c>
      <c r="J218" t="s">
        <v>1236</v>
      </c>
      <c r="K218" t="str">
        <f t="shared" si="14"/>
        <v>Printing A&amp;P</v>
      </c>
    </row>
    <row r="219" spans="2:11" x14ac:dyDescent="0.45">
      <c r="B219">
        <v>61700490</v>
      </c>
      <c r="C219" t="s">
        <v>1297</v>
      </c>
      <c r="F219" s="5">
        <v>-467398.40000000002</v>
      </c>
      <c r="G219" s="16">
        <f t="shared" si="11"/>
        <v>-459679</v>
      </c>
      <c r="H219" s="54">
        <f t="shared" si="12"/>
        <v>-927077.4</v>
      </c>
      <c r="I219" t="str">
        <f t="shared" si="13"/>
        <v>Unrealised Exch Loss / (Gain)</v>
      </c>
      <c r="J219" t="s">
        <v>1237</v>
      </c>
      <c r="K219" t="str">
        <f t="shared" si="14"/>
        <v>Prod Devmt (Food Tastg &amp; Analysis)</v>
      </c>
    </row>
    <row r="220" spans="2:11" x14ac:dyDescent="0.45">
      <c r="B220">
        <v>61700500</v>
      </c>
      <c r="C220" t="s">
        <v>1298</v>
      </c>
      <c r="F220" s="5">
        <v>459439.83</v>
      </c>
      <c r="G220" s="16">
        <f t="shared" si="11"/>
        <v>459679</v>
      </c>
      <c r="H220" s="54">
        <f t="shared" si="12"/>
        <v>919118.83000000007</v>
      </c>
      <c r="I220" t="str">
        <f t="shared" si="13"/>
        <v>Realised Exch Loss / (Gain)</v>
      </c>
      <c r="J220" t="s">
        <v>1238</v>
      </c>
      <c r="K220" t="str">
        <f t="shared" si="14"/>
        <v>Advertising</v>
      </c>
    </row>
    <row r="221" spans="2:11" x14ac:dyDescent="0.45">
      <c r="B221">
        <v>61700510</v>
      </c>
      <c r="C221" t="s">
        <v>1299</v>
      </c>
      <c r="F221" s="5">
        <v>-456179</v>
      </c>
      <c r="G221" s="16">
        <f t="shared" si="11"/>
        <v>-459679</v>
      </c>
      <c r="H221" s="54">
        <f t="shared" si="12"/>
        <v>-915858</v>
      </c>
      <c r="I221" t="str">
        <f t="shared" si="13"/>
        <v>Quality Assurance</v>
      </c>
      <c r="J221" t="s">
        <v>1239</v>
      </c>
      <c r="K221" t="str">
        <f t="shared" si="14"/>
        <v>Branding &amp; Creative Chgs</v>
      </c>
    </row>
    <row r="222" spans="2:11" x14ac:dyDescent="0.45">
      <c r="B222">
        <v>61700520</v>
      </c>
      <c r="C222" t="s">
        <v>1300</v>
      </c>
      <c r="F222" s="5">
        <v>517880.73</v>
      </c>
      <c r="G222" s="16">
        <f t="shared" si="11"/>
        <v>459679</v>
      </c>
      <c r="H222" s="54">
        <f t="shared" si="12"/>
        <v>977559.73</v>
      </c>
      <c r="I222" t="str">
        <f t="shared" si="13"/>
        <v>Staff Training / Courses</v>
      </c>
      <c r="J222" t="s">
        <v>1240</v>
      </c>
      <c r="K222" t="str">
        <f t="shared" si="14"/>
        <v>Mktg &amp; Mgt Service Fee Paid</v>
      </c>
    </row>
    <row r="223" spans="2:11" x14ac:dyDescent="0.45">
      <c r="B223">
        <v>61700530</v>
      </c>
      <c r="C223" t="s">
        <v>1301</v>
      </c>
      <c r="F223" s="5">
        <v>-412508.25</v>
      </c>
      <c r="G223" s="16">
        <f t="shared" si="11"/>
        <v>-459679</v>
      </c>
      <c r="H223" s="54">
        <f t="shared" si="12"/>
        <v>-872187.25</v>
      </c>
      <c r="I223" t="str">
        <f t="shared" si="13"/>
        <v>Staff Uniform</v>
      </c>
      <c r="J223" t="s">
        <v>1335</v>
      </c>
      <c r="K223" t="e">
        <f t="shared" si="14"/>
        <v>#N/A</v>
      </c>
    </row>
    <row r="224" spans="2:11" x14ac:dyDescent="0.45">
      <c r="B224">
        <v>61700540</v>
      </c>
      <c r="C224" t="s">
        <v>1302</v>
      </c>
      <c r="F224" s="5">
        <v>459796.39</v>
      </c>
      <c r="G224" s="16">
        <f t="shared" si="11"/>
        <v>459679</v>
      </c>
      <c r="H224" s="54">
        <f t="shared" si="12"/>
        <v>919475.39</v>
      </c>
      <c r="I224" t="str">
        <f t="shared" si="13"/>
        <v>Safety Wear</v>
      </c>
      <c r="J224" t="s">
        <v>1358</v>
      </c>
      <c r="K224" t="e">
        <f t="shared" si="14"/>
        <v>#N/A</v>
      </c>
    </row>
    <row r="225" spans="2:11" x14ac:dyDescent="0.45">
      <c r="B225">
        <v>61700580</v>
      </c>
      <c r="C225" t="s">
        <v>1303</v>
      </c>
      <c r="F225" s="5">
        <v>-414556.31</v>
      </c>
      <c r="G225" s="16">
        <f t="shared" si="11"/>
        <v>-459679</v>
      </c>
      <c r="H225" s="54">
        <f t="shared" si="12"/>
        <v>-874235.31</v>
      </c>
      <c r="I225" t="str">
        <f t="shared" si="13"/>
        <v>Skill Development Levy</v>
      </c>
      <c r="J225" t="s">
        <v>1359</v>
      </c>
      <c r="K225" t="e">
        <f t="shared" si="14"/>
        <v>#N/A</v>
      </c>
    </row>
    <row r="226" spans="2:11" x14ac:dyDescent="0.45">
      <c r="B226">
        <v>61700590</v>
      </c>
      <c r="C226" t="s">
        <v>1304</v>
      </c>
      <c r="F226" s="5">
        <v>540805.16</v>
      </c>
      <c r="G226" s="16">
        <f t="shared" si="11"/>
        <v>459679</v>
      </c>
      <c r="H226" s="54">
        <f t="shared" si="12"/>
        <v>1000484.16</v>
      </c>
      <c r="I226" t="str">
        <f t="shared" si="13"/>
        <v>Recruitment Expenses</v>
      </c>
      <c r="J226" t="s">
        <v>1360</v>
      </c>
      <c r="K226" t="e">
        <f t="shared" si="14"/>
        <v>#N/A</v>
      </c>
    </row>
    <row r="227" spans="2:11" x14ac:dyDescent="0.45">
      <c r="B227">
        <v>62000020</v>
      </c>
      <c r="C227" t="s">
        <v>1305</v>
      </c>
      <c r="F227" s="5">
        <v>1515904.98</v>
      </c>
      <c r="G227" s="16">
        <f t="shared" si="11"/>
        <v>-459679</v>
      </c>
      <c r="H227" s="54">
        <f t="shared" si="12"/>
        <v>1056225.98</v>
      </c>
      <c r="I227" t="str">
        <f t="shared" si="13"/>
        <v>Depreciation: Leasehold Improvements</v>
      </c>
      <c r="J227" t="s">
        <v>1241</v>
      </c>
      <c r="K227" t="str">
        <f t="shared" si="14"/>
        <v>Tpt, Freight &amp; Handling</v>
      </c>
    </row>
    <row r="228" spans="2:11" x14ac:dyDescent="0.45">
      <c r="B228">
        <v>62000030</v>
      </c>
      <c r="C228" t="s">
        <v>1306</v>
      </c>
      <c r="F228" s="5">
        <v>651367.57999999996</v>
      </c>
      <c r="G228" s="16">
        <f t="shared" si="11"/>
        <v>459679</v>
      </c>
      <c r="H228" s="54">
        <f t="shared" si="12"/>
        <v>1111046.58</v>
      </c>
      <c r="I228" t="str">
        <f t="shared" si="13"/>
        <v>Depreciation: Office Furn &amp; Fittings</v>
      </c>
      <c r="J228" t="s">
        <v>1242</v>
      </c>
      <c r="K228" t="str">
        <f t="shared" si="14"/>
        <v>Company Vehicles: Cashcard, Parking</v>
      </c>
    </row>
    <row r="229" spans="2:11" x14ac:dyDescent="0.45">
      <c r="B229">
        <v>62000040</v>
      </c>
      <c r="C229" t="s">
        <v>1307</v>
      </c>
      <c r="F229" s="5">
        <v>-327866.90000000002</v>
      </c>
      <c r="G229" s="16">
        <f t="shared" si="11"/>
        <v>-459679</v>
      </c>
      <c r="H229" s="54">
        <f t="shared" si="12"/>
        <v>-787545.9</v>
      </c>
      <c r="I229" t="str">
        <f t="shared" si="13"/>
        <v>Depreciation: Office Equipment</v>
      </c>
      <c r="J229" t="s">
        <v>1243</v>
      </c>
      <c r="K229" t="str">
        <f t="shared" si="14"/>
        <v>Company Vehicles: Fuel</v>
      </c>
    </row>
    <row r="230" spans="2:11" x14ac:dyDescent="0.45">
      <c r="B230">
        <v>62000050</v>
      </c>
      <c r="C230" t="s">
        <v>1308</v>
      </c>
      <c r="F230" s="5">
        <v>930664.78</v>
      </c>
      <c r="G230" s="16">
        <f t="shared" si="11"/>
        <v>459679</v>
      </c>
      <c r="H230" s="54">
        <f t="shared" si="12"/>
        <v>1390343.78</v>
      </c>
      <c r="I230" t="str">
        <f t="shared" si="13"/>
        <v>Depreciation: Plant, Equipment &amp; Boats</v>
      </c>
      <c r="J230" t="s">
        <v>1244</v>
      </c>
      <c r="K230" t="str">
        <f t="shared" si="14"/>
        <v>Company Vehicles: Rental</v>
      </c>
    </row>
    <row r="231" spans="2:11" x14ac:dyDescent="0.45">
      <c r="B231">
        <v>62000060</v>
      </c>
      <c r="C231" t="s">
        <v>1309</v>
      </c>
      <c r="F231" s="5">
        <v>-443600.14</v>
      </c>
      <c r="G231" s="16">
        <f t="shared" si="11"/>
        <v>-459679</v>
      </c>
      <c r="H231" s="54">
        <f t="shared" si="12"/>
        <v>-903279.14</v>
      </c>
      <c r="I231" t="str">
        <f t="shared" si="13"/>
        <v>Depreciation: Motor Vehicles</v>
      </c>
      <c r="J231" t="s">
        <v>1245</v>
      </c>
      <c r="K231" t="str">
        <f t="shared" si="14"/>
        <v>Company Vehicles: Servicing &amp; Repairs</v>
      </c>
    </row>
    <row r="232" spans="2:11" x14ac:dyDescent="0.45">
      <c r="B232">
        <v>62000090</v>
      </c>
      <c r="C232" t="s">
        <v>1310</v>
      </c>
      <c r="F232" s="5">
        <v>2282223.79</v>
      </c>
      <c r="G232" s="16">
        <f t="shared" si="11"/>
        <v>459679</v>
      </c>
      <c r="H232" s="54">
        <f t="shared" si="12"/>
        <v>2741902.79</v>
      </c>
      <c r="I232" t="str">
        <f t="shared" si="13"/>
        <v>Amortisation: Trademarks</v>
      </c>
      <c r="J232" t="s">
        <v>1246</v>
      </c>
      <c r="K232" t="str">
        <f t="shared" si="14"/>
        <v>Company Vehicles: Upkeep Others</v>
      </c>
    </row>
    <row r="233" spans="2:11" x14ac:dyDescent="0.45">
      <c r="B233">
        <v>64000020</v>
      </c>
      <c r="C233" t="s">
        <v>1311</v>
      </c>
      <c r="F233" s="5">
        <v>-451838.83</v>
      </c>
      <c r="G233" s="16">
        <f t="shared" si="11"/>
        <v>-459679</v>
      </c>
      <c r="H233" s="54">
        <f t="shared" si="12"/>
        <v>-911517.83000000007</v>
      </c>
      <c r="I233" t="str">
        <f t="shared" si="13"/>
        <v>Bank Interest: MML</v>
      </c>
      <c r="J233" t="s">
        <v>1247</v>
      </c>
      <c r="K233" t="str">
        <f t="shared" si="14"/>
        <v>Tools &amp; Supplies: Operations</v>
      </c>
    </row>
    <row r="234" spans="2:11" x14ac:dyDescent="0.45">
      <c r="B234">
        <v>64000040</v>
      </c>
      <c r="C234" t="s">
        <v>1312</v>
      </c>
      <c r="F234" s="5">
        <v>477333.79</v>
      </c>
      <c r="G234" s="16">
        <f t="shared" si="11"/>
        <v>459679</v>
      </c>
      <c r="H234" s="54">
        <f t="shared" si="12"/>
        <v>937012.79</v>
      </c>
      <c r="I234" t="str">
        <f t="shared" si="13"/>
        <v>Bank Interest: Term Loan</v>
      </c>
      <c r="J234" t="s">
        <v>1248</v>
      </c>
      <c r="K234" t="str">
        <f t="shared" si="14"/>
        <v>Rental: Non-Office Equipment</v>
      </c>
    </row>
    <row r="235" spans="2:11" x14ac:dyDescent="0.45">
      <c r="B235">
        <v>64000050</v>
      </c>
      <c r="C235" t="s">
        <v>1313</v>
      </c>
      <c r="F235" s="5">
        <v>-411807.73</v>
      </c>
      <c r="G235" s="16">
        <f t="shared" si="11"/>
        <v>-459679</v>
      </c>
      <c r="H235" s="54">
        <f t="shared" si="12"/>
        <v>-871486.73</v>
      </c>
      <c r="I235" t="str">
        <f t="shared" si="13"/>
        <v>Bank Interest: TR, LC</v>
      </c>
      <c r="J235" t="s">
        <v>1249</v>
      </c>
      <c r="K235" t="str">
        <f t="shared" si="14"/>
        <v>Delivery Agents Commission</v>
      </c>
    </row>
    <row r="236" spans="2:11" x14ac:dyDescent="0.45">
      <c r="B236">
        <v>64000060</v>
      </c>
      <c r="C236" t="s">
        <v>1561</v>
      </c>
      <c r="F236" s="5">
        <v>469692.7</v>
      </c>
      <c r="G236" s="16">
        <f t="shared" si="11"/>
        <v>459679</v>
      </c>
      <c r="H236" s="54">
        <f t="shared" si="12"/>
        <v>929371.7</v>
      </c>
      <c r="I236" t="str">
        <f t="shared" si="13"/>
        <v>Other Bank Borrowing Costs</v>
      </c>
      <c r="J236" t="s">
        <v>1366</v>
      </c>
      <c r="K236" t="e">
        <f t="shared" si="14"/>
        <v>#N/A</v>
      </c>
    </row>
    <row r="237" spans="2:11" x14ac:dyDescent="0.45">
      <c r="B237" s="93">
        <v>71000010</v>
      </c>
      <c r="C237" s="93" t="s">
        <v>1314</v>
      </c>
      <c r="D237" s="93"/>
      <c r="E237" s="93"/>
      <c r="F237" s="94">
        <v>-479679</v>
      </c>
      <c r="G237" s="16">
        <f t="shared" si="11"/>
        <v>-459679</v>
      </c>
      <c r="H237" s="54">
        <f t="shared" si="12"/>
        <v>-939358</v>
      </c>
      <c r="I237" t="str">
        <f t="shared" si="13"/>
        <v>Franchise Fee</v>
      </c>
      <c r="J237" t="s">
        <v>1376</v>
      </c>
      <c r="K237" t="e">
        <f t="shared" si="14"/>
        <v>#N/A</v>
      </c>
    </row>
    <row r="238" spans="2:11" x14ac:dyDescent="0.45">
      <c r="B238" s="93">
        <v>71000020</v>
      </c>
      <c r="C238" s="93" t="s">
        <v>1315</v>
      </c>
      <c r="D238" s="93"/>
      <c r="E238" s="93"/>
      <c r="F238" s="94">
        <v>430987.41</v>
      </c>
      <c r="G238" s="16">
        <f t="shared" si="11"/>
        <v>459679</v>
      </c>
      <c r="H238" s="54">
        <f t="shared" si="12"/>
        <v>890666.40999999992</v>
      </c>
      <c r="I238" t="str">
        <f t="shared" si="13"/>
        <v>Marketing Fund Income</v>
      </c>
      <c r="J238" t="s">
        <v>1339</v>
      </c>
      <c r="K238" t="e">
        <f t="shared" si="14"/>
        <v>#N/A</v>
      </c>
    </row>
    <row r="239" spans="2:11" x14ac:dyDescent="0.45">
      <c r="B239" s="93">
        <v>71000040</v>
      </c>
      <c r="C239" s="93" t="s">
        <v>1316</v>
      </c>
      <c r="D239" s="93"/>
      <c r="E239" s="93"/>
      <c r="F239" s="94">
        <v>-783544.34000000008</v>
      </c>
      <c r="G239" s="16">
        <f t="shared" si="11"/>
        <v>-459679</v>
      </c>
      <c r="H239" s="54">
        <f t="shared" si="12"/>
        <v>-1243223.3400000001</v>
      </c>
      <c r="I239" t="str">
        <f t="shared" si="13"/>
        <v>Royalties</v>
      </c>
      <c r="J239" t="s">
        <v>1250</v>
      </c>
      <c r="K239" t="str">
        <f t="shared" si="14"/>
        <v>Outlets Rental: Fixed</v>
      </c>
    </row>
    <row r="240" spans="2:11" x14ac:dyDescent="0.45">
      <c r="B240" s="93">
        <v>73000010</v>
      </c>
      <c r="C240" s="93" t="s">
        <v>1317</v>
      </c>
      <c r="D240" s="93"/>
      <c r="E240" s="93"/>
      <c r="F240" s="94">
        <v>-3431339.78</v>
      </c>
      <c r="G240" s="16">
        <f t="shared" si="11"/>
        <v>459679</v>
      </c>
      <c r="H240" s="54">
        <f t="shared" si="12"/>
        <v>-2971660.78</v>
      </c>
      <c r="I240" t="str">
        <f t="shared" si="13"/>
        <v>Management Fee Income</v>
      </c>
      <c r="J240" t="s">
        <v>1251</v>
      </c>
      <c r="K240" t="str">
        <f t="shared" si="14"/>
        <v>Retail Rental: Consignment &amp; Concession</v>
      </c>
    </row>
    <row r="241" spans="2:11" x14ac:dyDescent="0.45">
      <c r="B241" s="93">
        <v>77000150</v>
      </c>
      <c r="C241" s="93" t="s">
        <v>1318</v>
      </c>
      <c r="D241" s="93"/>
      <c r="E241" s="93"/>
      <c r="F241" s="94">
        <v>-466080.24</v>
      </c>
      <c r="G241" s="16">
        <f t="shared" si="11"/>
        <v>-459679</v>
      </c>
      <c r="H241" s="54">
        <f t="shared" si="12"/>
        <v>-925759.24</v>
      </c>
      <c r="I241" t="str">
        <f t="shared" si="13"/>
        <v>Insurance Compensation Received</v>
      </c>
      <c r="J241" t="s">
        <v>1252</v>
      </c>
      <c r="K241" t="str">
        <f t="shared" si="14"/>
        <v>Outlets Rental: GTO Variable</v>
      </c>
    </row>
    <row r="242" spans="2:11" x14ac:dyDescent="0.45">
      <c r="B242" s="93">
        <v>77000180</v>
      </c>
      <c r="C242" s="93" t="s">
        <v>1319</v>
      </c>
      <c r="D242" s="93"/>
      <c r="E242" s="93"/>
      <c r="F242" s="94">
        <v>-4261720.75</v>
      </c>
      <c r="G242" s="16">
        <f t="shared" ref="G242" si="15">-G241</f>
        <v>459679</v>
      </c>
      <c r="H242" s="54">
        <f t="shared" si="12"/>
        <v>-3802041.75</v>
      </c>
      <c r="I242" t="str">
        <f t="shared" si="13"/>
        <v>Miscellaneous Income</v>
      </c>
      <c r="J242" t="s">
        <v>1253</v>
      </c>
      <c r="K242" t="str">
        <f t="shared" si="14"/>
        <v>Rental Related Administrative Expense</v>
      </c>
    </row>
    <row r="243" spans="2:11" x14ac:dyDescent="0.45">
      <c r="I243" t="e">
        <f t="shared" si="13"/>
        <v>#N/A</v>
      </c>
      <c r="J243" t="s">
        <v>1254</v>
      </c>
      <c r="K243" t="str">
        <f t="shared" si="14"/>
        <v>Warehouse Storage Rental</v>
      </c>
    </row>
    <row r="244" spans="2:11" x14ac:dyDescent="0.45">
      <c r="I244" t="e">
        <f t="shared" si="13"/>
        <v>#N/A</v>
      </c>
      <c r="J244" t="s">
        <v>1255</v>
      </c>
      <c r="K244" t="str">
        <f t="shared" si="14"/>
        <v>Office Rental</v>
      </c>
    </row>
    <row r="245" spans="2:11" x14ac:dyDescent="0.45">
      <c r="B245" s="95"/>
      <c r="C245" s="95"/>
      <c r="I245" t="e">
        <f t="shared" si="13"/>
        <v>#N/A</v>
      </c>
      <c r="J245" t="s">
        <v>1256</v>
      </c>
      <c r="K245" t="str">
        <f t="shared" si="14"/>
        <v>Utilities: Office</v>
      </c>
    </row>
    <row r="246" spans="2:11" x14ac:dyDescent="0.45">
      <c r="B246" s="95"/>
      <c r="C246" s="95"/>
      <c r="I246" t="e">
        <f t="shared" si="13"/>
        <v>#N/A</v>
      </c>
      <c r="J246" t="s">
        <v>1257</v>
      </c>
      <c r="K246" t="str">
        <f t="shared" si="14"/>
        <v>Utilities: Retail Outlets</v>
      </c>
    </row>
    <row r="247" spans="2:11" x14ac:dyDescent="0.45">
      <c r="B247" s="95"/>
      <c r="C247" s="96"/>
      <c r="I247" t="e">
        <f t="shared" si="13"/>
        <v>#N/A</v>
      </c>
      <c r="J247" t="s">
        <v>1365</v>
      </c>
      <c r="K247" t="e">
        <f t="shared" si="14"/>
        <v>#N/A</v>
      </c>
    </row>
    <row r="248" spans="2:11" x14ac:dyDescent="0.45">
      <c r="B248" s="95"/>
      <c r="C248" s="95"/>
      <c r="I248" t="e">
        <f t="shared" si="13"/>
        <v>#N/A</v>
      </c>
      <c r="J248" t="s">
        <v>1355</v>
      </c>
      <c r="K248" t="e">
        <f t="shared" si="14"/>
        <v>#N/A</v>
      </c>
    </row>
    <row r="249" spans="2:11" x14ac:dyDescent="0.45">
      <c r="B249" s="95"/>
      <c r="C249" s="95"/>
      <c r="I249" t="e">
        <f t="shared" si="13"/>
        <v>#N/A</v>
      </c>
      <c r="J249" t="s">
        <v>1356</v>
      </c>
      <c r="K249" t="e">
        <f t="shared" si="14"/>
        <v>#N/A</v>
      </c>
    </row>
    <row r="250" spans="2:11" x14ac:dyDescent="0.45">
      <c r="I250" t="e">
        <f t="shared" si="13"/>
        <v>#N/A</v>
      </c>
      <c r="J250" t="s">
        <v>1383</v>
      </c>
      <c r="K250" t="e">
        <f t="shared" si="14"/>
        <v>#N/A</v>
      </c>
    </row>
    <row r="251" spans="2:11" x14ac:dyDescent="0.45">
      <c r="I251" t="e">
        <f t="shared" si="13"/>
        <v>#N/A</v>
      </c>
      <c r="J251" t="s">
        <v>1258</v>
      </c>
      <c r="K251" t="str">
        <f t="shared" si="14"/>
        <v>Accounting Fee</v>
      </c>
    </row>
    <row r="252" spans="2:11" x14ac:dyDescent="0.45">
      <c r="I252" t="e">
        <f t="shared" si="13"/>
        <v>#N/A</v>
      </c>
      <c r="J252" t="s">
        <v>1259</v>
      </c>
      <c r="K252" t="str">
        <f t="shared" si="14"/>
        <v>Admin Fee</v>
      </c>
    </row>
    <row r="253" spans="2:11" x14ac:dyDescent="0.45">
      <c r="I253" t="e">
        <f t="shared" si="13"/>
        <v>#N/A</v>
      </c>
      <c r="J253" t="s">
        <v>1260</v>
      </c>
      <c r="K253" t="str">
        <f t="shared" si="14"/>
        <v>Audit Fee</v>
      </c>
    </row>
    <row r="254" spans="2:11" x14ac:dyDescent="0.45">
      <c r="I254" t="e">
        <f t="shared" si="13"/>
        <v>#N/A</v>
      </c>
      <c r="J254" t="s">
        <v>1261</v>
      </c>
      <c r="K254" t="str">
        <f t="shared" si="14"/>
        <v>Corporate Secretarial Fee</v>
      </c>
    </row>
    <row r="255" spans="2:11" x14ac:dyDescent="0.45">
      <c r="I255" t="e">
        <f t="shared" si="13"/>
        <v>#N/A</v>
      </c>
      <c r="J255" t="s">
        <v>1262</v>
      </c>
      <c r="K255" t="str">
        <f t="shared" si="14"/>
        <v>Human Resource Fee</v>
      </c>
    </row>
    <row r="256" spans="2:11" x14ac:dyDescent="0.45">
      <c r="I256" t="e">
        <f t="shared" si="13"/>
        <v>#N/A</v>
      </c>
      <c r="J256" t="s">
        <v>1263</v>
      </c>
      <c r="K256" t="str">
        <f t="shared" si="14"/>
        <v>IP Registration Cost (New)</v>
      </c>
    </row>
    <row r="257" spans="9:11" x14ac:dyDescent="0.45">
      <c r="I257" t="e">
        <f t="shared" si="13"/>
        <v>#N/A</v>
      </c>
      <c r="J257" t="s">
        <v>1264</v>
      </c>
      <c r="K257" t="str">
        <f t="shared" si="14"/>
        <v>IP Registration Cost (Renewal)</v>
      </c>
    </row>
    <row r="258" spans="9:11" x14ac:dyDescent="0.45">
      <c r="I258" t="e">
        <f t="shared" si="13"/>
        <v>#N/A</v>
      </c>
      <c r="J258" t="s">
        <v>1265</v>
      </c>
      <c r="K258" t="str">
        <f t="shared" si="14"/>
        <v>IT Support &amp; Maintenance</v>
      </c>
    </row>
    <row r="259" spans="9:11" x14ac:dyDescent="0.45">
      <c r="I259" t="e">
        <f t="shared" si="13"/>
        <v>#N/A</v>
      </c>
      <c r="J259" t="s">
        <v>1266</v>
      </c>
      <c r="K259" t="str">
        <f t="shared" si="14"/>
        <v>Legal &amp; Consultancy Fee</v>
      </c>
    </row>
    <row r="260" spans="9:11" x14ac:dyDescent="0.45">
      <c r="I260" t="e">
        <f t="shared" si="13"/>
        <v>#N/A</v>
      </c>
      <c r="J260" t="s">
        <v>1267</v>
      </c>
      <c r="K260" t="str">
        <f t="shared" si="14"/>
        <v>Management Fee</v>
      </c>
    </row>
    <row r="261" spans="9:11" x14ac:dyDescent="0.45">
      <c r="I261" t="e">
        <f t="shared" si="13"/>
        <v>#N/A</v>
      </c>
      <c r="J261" t="s">
        <v>1268</v>
      </c>
      <c r="K261" t="str">
        <f t="shared" si="14"/>
        <v>Prof &amp; Consultancy Fee</v>
      </c>
    </row>
    <row r="262" spans="9:11" x14ac:dyDescent="0.45">
      <c r="I262" t="e">
        <f t="shared" si="13"/>
        <v>#N/A</v>
      </c>
      <c r="J262" t="s">
        <v>1269</v>
      </c>
      <c r="K262" t="str">
        <f t="shared" si="14"/>
        <v>Service Fee</v>
      </c>
    </row>
    <row r="263" spans="9:11" x14ac:dyDescent="0.45">
      <c r="I263" t="e">
        <f t="shared" ref="I263:I326" si="16">VLOOKUP(C263,$J$6:$J$351,1,FALSE)</f>
        <v>#N/A</v>
      </c>
      <c r="J263" t="s">
        <v>1270</v>
      </c>
      <c r="K263" t="str">
        <f t="shared" ref="K263:K326" si="17">VLOOKUP(J263,$C$6:$C$242,1,FALSE)</f>
        <v>Tax Consultancy Fee</v>
      </c>
    </row>
    <row r="264" spans="9:11" x14ac:dyDescent="0.45">
      <c r="I264" t="e">
        <f t="shared" si="16"/>
        <v>#N/A</v>
      </c>
      <c r="J264" t="s">
        <v>1271</v>
      </c>
      <c r="K264" t="str">
        <f t="shared" si="17"/>
        <v>Cleaning Chemical Supplies</v>
      </c>
    </row>
    <row r="265" spans="9:11" x14ac:dyDescent="0.45">
      <c r="I265" t="e">
        <f t="shared" si="16"/>
        <v>#N/A</v>
      </c>
      <c r="J265" t="s">
        <v>1272</v>
      </c>
      <c r="K265" t="str">
        <f t="shared" si="17"/>
        <v>Store Suplies: Cutlery</v>
      </c>
    </row>
    <row r="266" spans="9:11" x14ac:dyDescent="0.45">
      <c r="I266" t="e">
        <f t="shared" si="16"/>
        <v>#N/A</v>
      </c>
      <c r="J266" t="s">
        <v>1273</v>
      </c>
      <c r="K266" t="str">
        <f t="shared" si="17"/>
        <v>Small Items Expensed Off</v>
      </c>
    </row>
    <row r="267" spans="9:11" x14ac:dyDescent="0.45">
      <c r="I267" t="e">
        <f t="shared" si="16"/>
        <v>#N/A</v>
      </c>
      <c r="J267" t="s">
        <v>1274</v>
      </c>
      <c r="K267" t="str">
        <f t="shared" si="17"/>
        <v>Insurance: Gen,Fire,Theft, Public Liab</v>
      </c>
    </row>
    <row r="268" spans="9:11" x14ac:dyDescent="0.45">
      <c r="I268" t="e">
        <f t="shared" si="16"/>
        <v>#N/A</v>
      </c>
      <c r="J268" t="s">
        <v>1275</v>
      </c>
      <c r="K268" t="str">
        <f t="shared" si="17"/>
        <v>Pantry Supplies</v>
      </c>
    </row>
    <row r="269" spans="9:11" x14ac:dyDescent="0.45">
      <c r="I269" t="e">
        <f t="shared" si="16"/>
        <v>#N/A</v>
      </c>
      <c r="J269" t="s">
        <v>1276</v>
      </c>
      <c r="K269" t="str">
        <f t="shared" si="17"/>
        <v>Rental: Office Equipment</v>
      </c>
    </row>
    <row r="270" spans="9:11" x14ac:dyDescent="0.45">
      <c r="I270" t="e">
        <f t="shared" si="16"/>
        <v>#N/A</v>
      </c>
      <c r="J270" t="s">
        <v>1277</v>
      </c>
      <c r="K270" t="str">
        <f t="shared" si="17"/>
        <v>Repair &amp; Maintenance: Office Equipment</v>
      </c>
    </row>
    <row r="271" spans="9:11" x14ac:dyDescent="0.45">
      <c r="I271" t="e">
        <f t="shared" si="16"/>
        <v>#N/A</v>
      </c>
      <c r="J271" t="s">
        <v>1278</v>
      </c>
      <c r="K271" t="str">
        <f t="shared" si="17"/>
        <v>Tools, Supplies, Consumables</v>
      </c>
    </row>
    <row r="272" spans="9:11" x14ac:dyDescent="0.45">
      <c r="I272" t="e">
        <f t="shared" si="16"/>
        <v>#N/A</v>
      </c>
      <c r="J272" t="s">
        <v>1279</v>
      </c>
      <c r="K272" t="str">
        <f t="shared" si="17"/>
        <v>Upkeep of Premise / Cleaning</v>
      </c>
    </row>
    <row r="273" spans="9:11" x14ac:dyDescent="0.45">
      <c r="I273" t="e">
        <f t="shared" si="16"/>
        <v>#N/A</v>
      </c>
      <c r="J273" t="s">
        <v>1280</v>
      </c>
      <c r="K273" t="str">
        <f t="shared" si="17"/>
        <v>Postage &amp; Courier</v>
      </c>
    </row>
    <row r="274" spans="9:11" x14ac:dyDescent="0.45">
      <c r="I274" t="e">
        <f t="shared" si="16"/>
        <v>#N/A</v>
      </c>
      <c r="J274" t="s">
        <v>1281</v>
      </c>
      <c r="K274" t="str">
        <f t="shared" si="17"/>
        <v>Printing &amp; Stationery</v>
      </c>
    </row>
    <row r="275" spans="9:11" x14ac:dyDescent="0.45">
      <c r="I275" t="e">
        <f t="shared" si="16"/>
        <v>#N/A</v>
      </c>
      <c r="J275" t="s">
        <v>1282</v>
      </c>
      <c r="K275" t="str">
        <f t="shared" si="17"/>
        <v>Telecommunication Charges</v>
      </c>
    </row>
    <row r="276" spans="9:11" x14ac:dyDescent="0.45">
      <c r="I276" t="e">
        <f t="shared" si="16"/>
        <v>#N/A</v>
      </c>
      <c r="J276" t="s">
        <v>1283</v>
      </c>
      <c r="K276" t="str">
        <f t="shared" si="17"/>
        <v>Licence Fees &amp; Permits (New)</v>
      </c>
    </row>
    <row r="277" spans="9:11" x14ac:dyDescent="0.45">
      <c r="I277" t="e">
        <f t="shared" si="16"/>
        <v>#N/A</v>
      </c>
      <c r="J277" t="s">
        <v>1284</v>
      </c>
      <c r="K277" t="str">
        <f t="shared" si="17"/>
        <v>Licence Fees &amp; Permits (Renewal)</v>
      </c>
    </row>
    <row r="278" spans="9:11" x14ac:dyDescent="0.45">
      <c r="I278" t="e">
        <f t="shared" si="16"/>
        <v>#N/A</v>
      </c>
      <c r="J278" t="s">
        <v>1285</v>
      </c>
      <c r="K278" t="str">
        <f t="shared" si="17"/>
        <v>Membership Subscriptions</v>
      </c>
    </row>
    <row r="279" spans="9:11" x14ac:dyDescent="0.45">
      <c r="I279" t="e">
        <f t="shared" si="16"/>
        <v>#N/A</v>
      </c>
      <c r="J279" t="s">
        <v>1286</v>
      </c>
      <c r="K279" t="str">
        <f t="shared" si="17"/>
        <v>Stamp Duty</v>
      </c>
    </row>
    <row r="280" spans="9:11" x14ac:dyDescent="0.45">
      <c r="I280" t="e">
        <f t="shared" si="16"/>
        <v>#N/A</v>
      </c>
      <c r="J280" t="s">
        <v>1287</v>
      </c>
      <c r="K280" t="str">
        <f t="shared" si="17"/>
        <v>Penalties &amp; Fines</v>
      </c>
    </row>
    <row r="281" spans="9:11" x14ac:dyDescent="0.45">
      <c r="I281" t="e">
        <f t="shared" si="16"/>
        <v>#N/A</v>
      </c>
      <c r="J281" t="s">
        <v>1288</v>
      </c>
      <c r="K281" t="str">
        <f t="shared" si="17"/>
        <v>Bank Charges</v>
      </c>
    </row>
    <row r="282" spans="9:11" x14ac:dyDescent="0.45">
      <c r="I282" t="e">
        <f t="shared" si="16"/>
        <v>#N/A</v>
      </c>
      <c r="J282" t="s">
        <v>1289</v>
      </c>
      <c r="K282" t="str">
        <f t="shared" si="17"/>
        <v>NETS Charges</v>
      </c>
    </row>
    <row r="283" spans="9:11" x14ac:dyDescent="0.45">
      <c r="I283" t="e">
        <f t="shared" si="16"/>
        <v>#N/A</v>
      </c>
      <c r="J283" t="s">
        <v>1290</v>
      </c>
      <c r="K283" t="str">
        <f t="shared" si="17"/>
        <v>Visa, Master, Credit Card Charges</v>
      </c>
    </row>
    <row r="284" spans="9:11" x14ac:dyDescent="0.45">
      <c r="I284" t="e">
        <f t="shared" si="16"/>
        <v>#N/A</v>
      </c>
      <c r="J284" t="s">
        <v>1291</v>
      </c>
      <c r="K284" t="str">
        <f t="shared" si="17"/>
        <v>Bad &amp; Doubtful Debts</v>
      </c>
    </row>
    <row r="285" spans="9:11" x14ac:dyDescent="0.45">
      <c r="I285" t="e">
        <f t="shared" si="16"/>
        <v>#N/A</v>
      </c>
      <c r="J285" t="s">
        <v>1292</v>
      </c>
      <c r="K285" t="str">
        <f t="shared" si="17"/>
        <v>Donations</v>
      </c>
    </row>
    <row r="286" spans="9:11" x14ac:dyDescent="0.45">
      <c r="I286" t="e">
        <f t="shared" si="16"/>
        <v>#N/A</v>
      </c>
      <c r="J286" t="s">
        <v>1293</v>
      </c>
      <c r="K286" t="str">
        <f t="shared" si="17"/>
        <v>General Expenses</v>
      </c>
    </row>
    <row r="287" spans="9:11" x14ac:dyDescent="0.45">
      <c r="I287" t="e">
        <f t="shared" si="16"/>
        <v>#N/A</v>
      </c>
      <c r="J287" t="s">
        <v>1294</v>
      </c>
      <c r="K287" t="str">
        <f t="shared" si="17"/>
        <v>Gifts &amp; Sponsorship</v>
      </c>
    </row>
    <row r="288" spans="9:11" x14ac:dyDescent="0.45">
      <c r="I288" t="e">
        <f t="shared" si="16"/>
        <v>#N/A</v>
      </c>
      <c r="J288" t="s">
        <v>1295</v>
      </c>
      <c r="K288" t="str">
        <f t="shared" si="17"/>
        <v>Local Travelling</v>
      </c>
    </row>
    <row r="289" spans="9:11" x14ac:dyDescent="0.45">
      <c r="I289" t="e">
        <f t="shared" si="16"/>
        <v>#N/A</v>
      </c>
      <c r="J289" t="s">
        <v>1296</v>
      </c>
      <c r="K289" t="str">
        <f t="shared" si="17"/>
        <v>Disposal Loss / (Gain): FA</v>
      </c>
    </row>
    <row r="290" spans="9:11" x14ac:dyDescent="0.45">
      <c r="I290" t="e">
        <f t="shared" si="16"/>
        <v>#N/A</v>
      </c>
      <c r="J290" t="s">
        <v>1297</v>
      </c>
      <c r="K290" t="str">
        <f t="shared" si="17"/>
        <v>Unrealised Exch Loss / (Gain)</v>
      </c>
    </row>
    <row r="291" spans="9:11" x14ac:dyDescent="0.45">
      <c r="I291" t="e">
        <f t="shared" si="16"/>
        <v>#N/A</v>
      </c>
      <c r="J291" t="s">
        <v>1298</v>
      </c>
      <c r="K291" t="str">
        <f t="shared" si="17"/>
        <v>Realised Exch Loss / (Gain)</v>
      </c>
    </row>
    <row r="292" spans="9:11" x14ac:dyDescent="0.45">
      <c r="I292" t="e">
        <f t="shared" si="16"/>
        <v>#N/A</v>
      </c>
      <c r="J292" t="s">
        <v>1299</v>
      </c>
      <c r="K292" t="str">
        <f t="shared" si="17"/>
        <v>Quality Assurance</v>
      </c>
    </row>
    <row r="293" spans="9:11" x14ac:dyDescent="0.45">
      <c r="I293" t="e">
        <f t="shared" si="16"/>
        <v>#N/A</v>
      </c>
      <c r="J293" t="s">
        <v>1300</v>
      </c>
      <c r="K293" t="str">
        <f t="shared" si="17"/>
        <v>Staff Training / Courses</v>
      </c>
    </row>
    <row r="294" spans="9:11" x14ac:dyDescent="0.45">
      <c r="I294" t="e">
        <f t="shared" si="16"/>
        <v>#N/A</v>
      </c>
      <c r="J294" t="s">
        <v>1301</v>
      </c>
      <c r="K294" t="str">
        <f t="shared" si="17"/>
        <v>Staff Uniform</v>
      </c>
    </row>
    <row r="295" spans="9:11" x14ac:dyDescent="0.45">
      <c r="I295" t="e">
        <f t="shared" si="16"/>
        <v>#N/A</v>
      </c>
      <c r="J295" t="s">
        <v>1302</v>
      </c>
      <c r="K295" t="str">
        <f t="shared" si="17"/>
        <v>Safety Wear</v>
      </c>
    </row>
    <row r="296" spans="9:11" x14ac:dyDescent="0.45">
      <c r="I296" t="e">
        <f t="shared" si="16"/>
        <v>#N/A</v>
      </c>
      <c r="J296" t="s">
        <v>1303</v>
      </c>
      <c r="K296" t="str">
        <f t="shared" si="17"/>
        <v>Skill Development Levy</v>
      </c>
    </row>
    <row r="297" spans="9:11" x14ac:dyDescent="0.45">
      <c r="I297" t="e">
        <f t="shared" si="16"/>
        <v>#N/A</v>
      </c>
      <c r="J297" t="s">
        <v>1304</v>
      </c>
      <c r="K297" t="str">
        <f t="shared" si="17"/>
        <v>Recruitment Expenses</v>
      </c>
    </row>
    <row r="298" spans="9:11" x14ac:dyDescent="0.45">
      <c r="I298" t="e">
        <f t="shared" si="16"/>
        <v>#N/A</v>
      </c>
      <c r="J298" t="s">
        <v>1334</v>
      </c>
      <c r="K298" t="e">
        <f t="shared" si="17"/>
        <v>#N/A</v>
      </c>
    </row>
    <row r="299" spans="9:11" x14ac:dyDescent="0.45">
      <c r="I299" t="e">
        <f t="shared" si="16"/>
        <v>#N/A</v>
      </c>
      <c r="J299" t="s">
        <v>1336</v>
      </c>
      <c r="K299" t="e">
        <f t="shared" si="17"/>
        <v>#N/A</v>
      </c>
    </row>
    <row r="300" spans="9:11" x14ac:dyDescent="0.45">
      <c r="I300" t="e">
        <f t="shared" si="16"/>
        <v>#N/A</v>
      </c>
      <c r="J300" t="s">
        <v>1337</v>
      </c>
      <c r="K300" t="e">
        <f t="shared" si="17"/>
        <v>#N/A</v>
      </c>
    </row>
    <row r="301" spans="9:11" x14ac:dyDescent="0.45">
      <c r="I301" t="e">
        <f t="shared" si="16"/>
        <v>#N/A</v>
      </c>
      <c r="J301" t="s">
        <v>1338</v>
      </c>
      <c r="K301" t="e">
        <f t="shared" si="17"/>
        <v>#N/A</v>
      </c>
    </row>
    <row r="302" spans="9:11" x14ac:dyDescent="0.45">
      <c r="I302" t="e">
        <f t="shared" si="16"/>
        <v>#N/A</v>
      </c>
      <c r="J302" t="s">
        <v>1344</v>
      </c>
      <c r="K302" t="e">
        <f t="shared" si="17"/>
        <v>#N/A</v>
      </c>
    </row>
    <row r="303" spans="9:11" x14ac:dyDescent="0.45">
      <c r="I303" t="e">
        <f t="shared" si="16"/>
        <v>#N/A</v>
      </c>
      <c r="J303" t="s">
        <v>1345</v>
      </c>
      <c r="K303" t="e">
        <f t="shared" si="17"/>
        <v>#N/A</v>
      </c>
    </row>
    <row r="304" spans="9:11" x14ac:dyDescent="0.45">
      <c r="I304" t="e">
        <f t="shared" si="16"/>
        <v>#N/A</v>
      </c>
      <c r="J304" t="s">
        <v>1346</v>
      </c>
      <c r="K304" t="e">
        <f t="shared" si="17"/>
        <v>#N/A</v>
      </c>
    </row>
    <row r="305" spans="9:11" x14ac:dyDescent="0.45">
      <c r="I305" t="e">
        <f t="shared" si="16"/>
        <v>#N/A</v>
      </c>
      <c r="J305" t="s">
        <v>1348</v>
      </c>
      <c r="K305" t="e">
        <f t="shared" si="17"/>
        <v>#N/A</v>
      </c>
    </row>
    <row r="306" spans="9:11" x14ac:dyDescent="0.45">
      <c r="I306" t="e">
        <f t="shared" si="16"/>
        <v>#N/A</v>
      </c>
      <c r="J306" t="s">
        <v>1349</v>
      </c>
      <c r="K306" t="e">
        <f t="shared" si="17"/>
        <v>#N/A</v>
      </c>
    </row>
    <row r="307" spans="9:11" x14ac:dyDescent="0.45">
      <c r="I307" t="e">
        <f t="shared" si="16"/>
        <v>#N/A</v>
      </c>
      <c r="J307" t="s">
        <v>1350</v>
      </c>
      <c r="K307" t="e">
        <f t="shared" si="17"/>
        <v>#N/A</v>
      </c>
    </row>
    <row r="308" spans="9:11" x14ac:dyDescent="0.45">
      <c r="I308" t="e">
        <f t="shared" si="16"/>
        <v>#N/A</v>
      </c>
      <c r="J308" t="s">
        <v>1351</v>
      </c>
      <c r="K308" t="e">
        <f t="shared" si="17"/>
        <v>#N/A</v>
      </c>
    </row>
    <row r="309" spans="9:11" x14ac:dyDescent="0.45">
      <c r="I309" t="e">
        <f t="shared" si="16"/>
        <v>#N/A</v>
      </c>
      <c r="J309" t="s">
        <v>1353</v>
      </c>
      <c r="K309" t="e">
        <f t="shared" si="17"/>
        <v>#N/A</v>
      </c>
    </row>
    <row r="310" spans="9:11" x14ac:dyDescent="0.45">
      <c r="I310" t="e">
        <f t="shared" si="16"/>
        <v>#N/A</v>
      </c>
      <c r="J310" t="s">
        <v>1354</v>
      </c>
      <c r="K310" t="e">
        <f t="shared" si="17"/>
        <v>#N/A</v>
      </c>
    </row>
    <row r="311" spans="9:11" x14ac:dyDescent="0.45">
      <c r="I311" t="e">
        <f t="shared" si="16"/>
        <v>#N/A</v>
      </c>
      <c r="J311" t="s">
        <v>1378</v>
      </c>
      <c r="K311" t="e">
        <f t="shared" si="17"/>
        <v>#N/A</v>
      </c>
    </row>
    <row r="312" spans="9:11" x14ac:dyDescent="0.45">
      <c r="I312" t="e">
        <f t="shared" si="16"/>
        <v>#N/A</v>
      </c>
      <c r="J312" t="s">
        <v>1379</v>
      </c>
      <c r="K312" t="e">
        <f t="shared" si="17"/>
        <v>#N/A</v>
      </c>
    </row>
    <row r="313" spans="9:11" x14ac:dyDescent="0.45">
      <c r="I313" t="e">
        <f t="shared" si="16"/>
        <v>#N/A</v>
      </c>
      <c r="J313" t="s">
        <v>1380</v>
      </c>
      <c r="K313" t="e">
        <f t="shared" si="17"/>
        <v>#N/A</v>
      </c>
    </row>
    <row r="314" spans="9:11" x14ac:dyDescent="0.45">
      <c r="I314" t="e">
        <f t="shared" si="16"/>
        <v>#N/A</v>
      </c>
      <c r="J314" t="s">
        <v>1654</v>
      </c>
      <c r="K314" t="e">
        <f t="shared" si="17"/>
        <v>#N/A</v>
      </c>
    </row>
    <row r="315" spans="9:11" x14ac:dyDescent="0.45">
      <c r="I315" t="e">
        <f t="shared" si="16"/>
        <v>#N/A</v>
      </c>
      <c r="J315" t="s">
        <v>1357</v>
      </c>
      <c r="K315" t="e">
        <f t="shared" si="17"/>
        <v>#N/A</v>
      </c>
    </row>
    <row r="316" spans="9:11" x14ac:dyDescent="0.45">
      <c r="I316" t="e">
        <f t="shared" si="16"/>
        <v>#N/A</v>
      </c>
      <c r="J316" t="s">
        <v>1382</v>
      </c>
      <c r="K316" t="e">
        <f t="shared" si="17"/>
        <v>#N/A</v>
      </c>
    </row>
    <row r="317" spans="9:11" x14ac:dyDescent="0.45">
      <c r="I317" t="e">
        <f t="shared" si="16"/>
        <v>#N/A</v>
      </c>
      <c r="J317" t="s">
        <v>1362</v>
      </c>
      <c r="K317" t="e">
        <f t="shared" si="17"/>
        <v>#N/A</v>
      </c>
    </row>
    <row r="318" spans="9:11" x14ac:dyDescent="0.45">
      <c r="I318" t="e">
        <f t="shared" si="16"/>
        <v>#N/A</v>
      </c>
      <c r="J318" t="s">
        <v>1363</v>
      </c>
      <c r="K318" t="e">
        <f t="shared" si="17"/>
        <v>#N/A</v>
      </c>
    </row>
    <row r="319" spans="9:11" x14ac:dyDescent="0.45">
      <c r="I319" t="e">
        <f t="shared" si="16"/>
        <v>#N/A</v>
      </c>
      <c r="J319" t="s">
        <v>1372</v>
      </c>
      <c r="K319" t="e">
        <f t="shared" si="17"/>
        <v>#N/A</v>
      </c>
    </row>
    <row r="320" spans="9:11" x14ac:dyDescent="0.45">
      <c r="I320" t="e">
        <f t="shared" si="16"/>
        <v>#N/A</v>
      </c>
      <c r="J320" t="s">
        <v>1373</v>
      </c>
      <c r="K320" t="e">
        <f t="shared" si="17"/>
        <v>#N/A</v>
      </c>
    </row>
    <row r="321" spans="9:11" x14ac:dyDescent="0.45">
      <c r="I321" t="e">
        <f t="shared" si="16"/>
        <v>#N/A</v>
      </c>
      <c r="J321" t="s">
        <v>1374</v>
      </c>
      <c r="K321" t="e">
        <f t="shared" si="17"/>
        <v>#N/A</v>
      </c>
    </row>
    <row r="322" spans="9:11" x14ac:dyDescent="0.45">
      <c r="I322" t="e">
        <f t="shared" si="16"/>
        <v>#N/A</v>
      </c>
      <c r="J322" t="s">
        <v>1375</v>
      </c>
      <c r="K322" t="e">
        <f t="shared" si="17"/>
        <v>#N/A</v>
      </c>
    </row>
    <row r="323" spans="9:11" x14ac:dyDescent="0.45">
      <c r="I323" t="e">
        <f t="shared" si="16"/>
        <v>#N/A</v>
      </c>
      <c r="J323" t="s">
        <v>1361</v>
      </c>
      <c r="K323" t="e">
        <f t="shared" si="17"/>
        <v>#N/A</v>
      </c>
    </row>
    <row r="324" spans="9:11" x14ac:dyDescent="0.45">
      <c r="I324" t="e">
        <f t="shared" si="16"/>
        <v>#N/A</v>
      </c>
      <c r="J324" t="s">
        <v>1364</v>
      </c>
      <c r="K324" t="e">
        <f t="shared" si="17"/>
        <v>#N/A</v>
      </c>
    </row>
    <row r="325" spans="9:11" x14ac:dyDescent="0.45">
      <c r="I325" t="e">
        <f t="shared" si="16"/>
        <v>#N/A</v>
      </c>
      <c r="J325" t="s">
        <v>1305</v>
      </c>
      <c r="K325" t="str">
        <f t="shared" si="17"/>
        <v>Depreciation: Leasehold Improvements</v>
      </c>
    </row>
    <row r="326" spans="9:11" x14ac:dyDescent="0.45">
      <c r="I326" t="e">
        <f t="shared" si="16"/>
        <v>#N/A</v>
      </c>
      <c r="J326" t="s">
        <v>1306</v>
      </c>
      <c r="K326" t="str">
        <f t="shared" si="17"/>
        <v>Depreciation: Office Furn &amp; Fittings</v>
      </c>
    </row>
    <row r="327" spans="9:11" x14ac:dyDescent="0.45">
      <c r="I327" t="e">
        <f t="shared" ref="I327:I351" si="18">VLOOKUP(C327,$J$6:$J$351,1,FALSE)</f>
        <v>#N/A</v>
      </c>
      <c r="J327" t="s">
        <v>1307</v>
      </c>
      <c r="K327" t="str">
        <f t="shared" ref="K327:K351" si="19">VLOOKUP(J327,$C$6:$C$242,1,FALSE)</f>
        <v>Depreciation: Office Equipment</v>
      </c>
    </row>
    <row r="328" spans="9:11" x14ac:dyDescent="0.45">
      <c r="I328" t="e">
        <f t="shared" si="18"/>
        <v>#N/A</v>
      </c>
      <c r="J328" t="s">
        <v>1308</v>
      </c>
      <c r="K328" t="str">
        <f t="shared" si="19"/>
        <v>Depreciation: Plant, Equipment &amp; Boats</v>
      </c>
    </row>
    <row r="329" spans="9:11" x14ac:dyDescent="0.45">
      <c r="I329" t="e">
        <f t="shared" si="18"/>
        <v>#N/A</v>
      </c>
      <c r="J329" t="s">
        <v>1309</v>
      </c>
      <c r="K329" t="str">
        <f t="shared" si="19"/>
        <v>Depreciation: Motor Vehicles</v>
      </c>
    </row>
    <row r="330" spans="9:11" x14ac:dyDescent="0.45">
      <c r="I330" t="e">
        <f t="shared" si="18"/>
        <v>#N/A</v>
      </c>
      <c r="J330" t="s">
        <v>1343</v>
      </c>
      <c r="K330" t="e">
        <f t="shared" si="19"/>
        <v>#N/A</v>
      </c>
    </row>
    <row r="331" spans="9:11" x14ac:dyDescent="0.45">
      <c r="I331" t="e">
        <f t="shared" si="18"/>
        <v>#N/A</v>
      </c>
      <c r="J331" t="s">
        <v>1310</v>
      </c>
      <c r="K331" t="str">
        <f t="shared" si="19"/>
        <v>Amortisation: Trademarks</v>
      </c>
    </row>
    <row r="332" spans="9:11" x14ac:dyDescent="0.45">
      <c r="I332" t="e">
        <f t="shared" si="18"/>
        <v>#N/A</v>
      </c>
      <c r="J332" t="s">
        <v>1311</v>
      </c>
      <c r="K332" t="str">
        <f t="shared" si="19"/>
        <v>Bank Interest: MML</v>
      </c>
    </row>
    <row r="333" spans="9:11" x14ac:dyDescent="0.45">
      <c r="I333" t="e">
        <f t="shared" si="18"/>
        <v>#N/A</v>
      </c>
      <c r="J333" t="s">
        <v>1312</v>
      </c>
      <c r="K333" t="str">
        <f t="shared" si="19"/>
        <v>Bank Interest: Term Loan</v>
      </c>
    </row>
    <row r="334" spans="9:11" x14ac:dyDescent="0.45">
      <c r="I334" t="e">
        <f t="shared" si="18"/>
        <v>#N/A</v>
      </c>
      <c r="J334" t="s">
        <v>1313</v>
      </c>
      <c r="K334" t="str">
        <f t="shared" si="19"/>
        <v>Bank Interest: TR, LC</v>
      </c>
    </row>
    <row r="335" spans="9:11" x14ac:dyDescent="0.45">
      <c r="I335" t="e">
        <f t="shared" si="18"/>
        <v>#N/A</v>
      </c>
      <c r="J335" t="s">
        <v>1561</v>
      </c>
      <c r="K335" t="str">
        <f t="shared" si="19"/>
        <v>Other Bank Borrowing Costs</v>
      </c>
    </row>
    <row r="336" spans="9:11" x14ac:dyDescent="0.45">
      <c r="I336" t="e">
        <f t="shared" si="18"/>
        <v>#N/A</v>
      </c>
      <c r="J336" t="s">
        <v>1347</v>
      </c>
      <c r="K336" t="e">
        <f t="shared" si="19"/>
        <v>#N/A</v>
      </c>
    </row>
    <row r="337" spans="9:11" x14ac:dyDescent="0.45">
      <c r="I337" t="e">
        <f t="shared" si="18"/>
        <v>#N/A</v>
      </c>
      <c r="J337" t="s">
        <v>1314</v>
      </c>
      <c r="K337" t="str">
        <f t="shared" si="19"/>
        <v>Franchise Fee</v>
      </c>
    </row>
    <row r="338" spans="9:11" x14ac:dyDescent="0.45">
      <c r="I338" t="e">
        <f t="shared" si="18"/>
        <v>#N/A</v>
      </c>
      <c r="J338" t="s">
        <v>1315</v>
      </c>
      <c r="K338" t="str">
        <f t="shared" si="19"/>
        <v>Marketing Fund Income</v>
      </c>
    </row>
    <row r="339" spans="9:11" x14ac:dyDescent="0.45">
      <c r="I339" t="e">
        <f t="shared" si="18"/>
        <v>#N/A</v>
      </c>
      <c r="J339" t="s">
        <v>1316</v>
      </c>
      <c r="K339" t="str">
        <f t="shared" si="19"/>
        <v>Royalties</v>
      </c>
    </row>
    <row r="340" spans="9:11" x14ac:dyDescent="0.45">
      <c r="I340" t="e">
        <f t="shared" si="18"/>
        <v>#N/A</v>
      </c>
      <c r="J340" t="s">
        <v>1317</v>
      </c>
      <c r="K340" t="str">
        <f t="shared" si="19"/>
        <v>Management Fee Income</v>
      </c>
    </row>
    <row r="341" spans="9:11" x14ac:dyDescent="0.45">
      <c r="I341" t="e">
        <f t="shared" si="18"/>
        <v>#N/A</v>
      </c>
      <c r="J341" t="s">
        <v>1318</v>
      </c>
      <c r="K341" t="str">
        <f t="shared" si="19"/>
        <v>Insurance Compensation Received</v>
      </c>
    </row>
    <row r="342" spans="9:11" x14ac:dyDescent="0.45">
      <c r="I342" t="e">
        <f t="shared" si="18"/>
        <v>#N/A</v>
      </c>
      <c r="J342" t="s">
        <v>1319</v>
      </c>
      <c r="K342" t="str">
        <f t="shared" si="19"/>
        <v>Miscellaneous Income</v>
      </c>
    </row>
    <row r="343" spans="9:11" x14ac:dyDescent="0.45">
      <c r="I343" t="e">
        <f t="shared" si="18"/>
        <v>#N/A</v>
      </c>
      <c r="J343" t="s">
        <v>1326</v>
      </c>
      <c r="K343" t="e">
        <f t="shared" si="19"/>
        <v>#N/A</v>
      </c>
    </row>
    <row r="344" spans="9:11" x14ac:dyDescent="0.45">
      <c r="I344" t="e">
        <f t="shared" si="18"/>
        <v>#N/A</v>
      </c>
      <c r="J344" t="s">
        <v>1328</v>
      </c>
      <c r="K344" t="e">
        <f t="shared" si="19"/>
        <v>#N/A</v>
      </c>
    </row>
    <row r="345" spans="9:11" x14ac:dyDescent="0.45">
      <c r="I345" t="e">
        <f t="shared" si="18"/>
        <v>#N/A</v>
      </c>
      <c r="J345" t="s">
        <v>1327</v>
      </c>
      <c r="K345" t="e">
        <f t="shared" si="19"/>
        <v>#N/A</v>
      </c>
    </row>
    <row r="346" spans="9:11" x14ac:dyDescent="0.45">
      <c r="I346" t="e">
        <f t="shared" si="18"/>
        <v>#N/A</v>
      </c>
      <c r="J346" t="s">
        <v>1329</v>
      </c>
      <c r="K346" t="e">
        <f t="shared" si="19"/>
        <v>#N/A</v>
      </c>
    </row>
    <row r="347" spans="9:11" x14ac:dyDescent="0.45">
      <c r="I347" t="e">
        <f t="shared" si="18"/>
        <v>#N/A</v>
      </c>
      <c r="J347" t="s">
        <v>1330</v>
      </c>
      <c r="K347" t="e">
        <f t="shared" si="19"/>
        <v>#N/A</v>
      </c>
    </row>
    <row r="348" spans="9:11" x14ac:dyDescent="0.45">
      <c r="I348" t="e">
        <f t="shared" si="18"/>
        <v>#N/A</v>
      </c>
      <c r="J348" t="s">
        <v>1331</v>
      </c>
      <c r="K348" t="e">
        <f t="shared" si="19"/>
        <v>#N/A</v>
      </c>
    </row>
    <row r="349" spans="9:11" x14ac:dyDescent="0.45">
      <c r="I349" t="e">
        <f t="shared" si="18"/>
        <v>#N/A</v>
      </c>
      <c r="K349" t="e">
        <f t="shared" si="19"/>
        <v>#N/A</v>
      </c>
    </row>
    <row r="350" spans="9:11" x14ac:dyDescent="0.45">
      <c r="I350" t="e">
        <f t="shared" si="18"/>
        <v>#N/A</v>
      </c>
      <c r="J350" t="s">
        <v>1381</v>
      </c>
      <c r="K350" t="e">
        <f t="shared" si="19"/>
        <v>#N/A</v>
      </c>
    </row>
    <row r="351" spans="9:11" x14ac:dyDescent="0.45">
      <c r="I351" t="e">
        <f t="shared" si="18"/>
        <v>#N/A</v>
      </c>
      <c r="J351" t="s">
        <v>1712</v>
      </c>
      <c r="K351" t="e">
        <f t="shared" si="19"/>
        <v>#N/A</v>
      </c>
    </row>
  </sheetData>
  <sheetProtection algorithmName="SHA-512" hashValue="4+4W3CiUCp/T4NQj7r2+tAVPUDFNCJbqNQgmzbZgQXDMUnPBRChio3QgxhXXFvLsngMF638smL+Tx0z3UgY3RA==" saltValue="KwoEEh3CtVK23aGbJGAFcQ==" spinCount="100000" sheet="1" objects="1" scenarios="1" selectLockedCells="1" selectUnlockedCells="1"/>
  <pageMargins left="0.7" right="0.7" top="0.75" bottom="0.75" header="0.3" footer="0.3"/>
  <pageSetup paperSize="9" scale="88"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CA791-000D-47FF-AD96-D49E26E48AEE}">
  <dimension ref="A1:L715"/>
  <sheetViews>
    <sheetView topLeftCell="C1" zoomScale="85" zoomScaleNormal="85" workbookViewId="0">
      <selection activeCell="I1" sqref="I1"/>
    </sheetView>
  </sheetViews>
  <sheetFormatPr defaultRowHeight="14.25" x14ac:dyDescent="0.45"/>
  <cols>
    <col min="1" max="1" width="10.59765625" customWidth="1"/>
    <col min="2" max="2" width="40.59765625" customWidth="1"/>
    <col min="3" max="3" width="19.19921875" customWidth="1"/>
    <col min="4" max="4" width="16.796875" customWidth="1"/>
    <col min="5" max="5" width="40" customWidth="1"/>
    <col min="6" max="6" width="18.46484375" customWidth="1"/>
    <col min="7" max="7" width="12.59765625" customWidth="1"/>
    <col min="8" max="8" width="13.53125" customWidth="1"/>
    <col min="9" max="9" width="37.06640625" customWidth="1"/>
    <col min="10" max="10" width="17.73046875" style="16" customWidth="1"/>
    <col min="11" max="11" width="12.59765625" customWidth="1"/>
    <col min="12" max="12" width="11.19921875" bestFit="1" customWidth="1"/>
  </cols>
  <sheetData>
    <row r="1" spans="1:12" ht="14.65" x14ac:dyDescent="0.45">
      <c r="A1" s="214" t="s">
        <v>1657</v>
      </c>
      <c r="B1" s="214"/>
      <c r="C1" s="214"/>
      <c r="D1" s="214"/>
      <c r="E1" s="214"/>
      <c r="F1" s="214"/>
      <c r="G1" s="214"/>
    </row>
    <row r="2" spans="1:12" x14ac:dyDescent="0.45">
      <c r="A2" s="215" t="s">
        <v>0</v>
      </c>
      <c r="B2" s="215"/>
      <c r="C2" s="215"/>
      <c r="D2" s="215"/>
      <c r="E2" s="215"/>
      <c r="F2" s="215"/>
      <c r="G2" s="215"/>
    </row>
    <row r="3" spans="1:12" x14ac:dyDescent="0.45">
      <c r="A3" s="231" t="s">
        <v>1</v>
      </c>
      <c r="B3" s="231"/>
      <c r="C3" s="231"/>
      <c r="D3" s="231"/>
      <c r="E3" s="231"/>
      <c r="F3" s="231"/>
      <c r="G3" s="231"/>
    </row>
    <row r="4" spans="1:12" ht="14.65" thickBot="1" x14ac:dyDescent="0.5">
      <c r="A4" s="1" t="s">
        <v>2</v>
      </c>
      <c r="B4" s="1" t="s">
        <v>3</v>
      </c>
      <c r="C4" s="1" t="s">
        <v>4</v>
      </c>
      <c r="D4" s="1" t="s">
        <v>5</v>
      </c>
      <c r="E4" s="1" t="s">
        <v>6</v>
      </c>
      <c r="F4" s="1" t="s">
        <v>7</v>
      </c>
      <c r="G4" s="1" t="s">
        <v>8</v>
      </c>
      <c r="J4" s="18" t="s">
        <v>1321</v>
      </c>
    </row>
    <row r="5" spans="1:12" ht="14.65" thickTop="1" x14ac:dyDescent="0.45">
      <c r="A5" s="2" t="s">
        <v>9</v>
      </c>
      <c r="B5" s="2" t="s">
        <v>10</v>
      </c>
      <c r="C5" s="2" t="s">
        <v>0</v>
      </c>
      <c r="D5" s="3"/>
      <c r="E5" s="3">
        <v>724230.77</v>
      </c>
      <c r="F5" s="3"/>
      <c r="G5" s="3"/>
      <c r="I5" t="str">
        <f>VLOOKUP(A5,bnc_Map!A:C,3,FALSE)</f>
        <v>[BnC-1000] BnC Share Capital</v>
      </c>
      <c r="J5" s="19">
        <v>-264551.77</v>
      </c>
      <c r="L5" s="20"/>
    </row>
    <row r="6" spans="1:12" x14ac:dyDescent="0.45">
      <c r="A6" s="2" t="s">
        <v>11</v>
      </c>
      <c r="B6" s="2" t="s">
        <v>12</v>
      </c>
      <c r="C6" s="2" t="s">
        <v>0</v>
      </c>
      <c r="D6" s="3"/>
      <c r="E6" s="3">
        <v>777158.6</v>
      </c>
      <c r="F6" s="3"/>
      <c r="G6" s="3"/>
      <c r="I6" t="str">
        <f>VLOOKUP(A6,bnc_Map!A:C,3,FALSE)</f>
        <v>[BnC-1100] BnC Accumulated Profit / Loss</v>
      </c>
      <c r="J6" s="19">
        <v>-317479.59999999998</v>
      </c>
      <c r="L6" s="20"/>
    </row>
    <row r="7" spans="1:12" x14ac:dyDescent="0.45">
      <c r="A7" s="2" t="s">
        <v>13</v>
      </c>
      <c r="B7" s="2" t="s">
        <v>14</v>
      </c>
      <c r="C7" s="2" t="s">
        <v>0</v>
      </c>
      <c r="D7" s="3">
        <v>180813.77</v>
      </c>
      <c r="E7" s="3"/>
      <c r="F7" s="3">
        <v>6895</v>
      </c>
      <c r="G7" s="3"/>
      <c r="I7" t="str">
        <f>VLOOKUP(A7,bnc_Map!A:C,3,FALSE)</f>
        <v xml:space="preserve">[BnC-2B01] BnC Baking Equipment </v>
      </c>
      <c r="J7" s="19">
        <v>640492.77</v>
      </c>
      <c r="L7" s="20"/>
    </row>
    <row r="8" spans="1:12" x14ac:dyDescent="0.45">
      <c r="A8" s="2" t="s">
        <v>15</v>
      </c>
      <c r="B8" s="2" t="s">
        <v>16</v>
      </c>
      <c r="C8" s="2" t="s">
        <v>0</v>
      </c>
      <c r="D8" s="3"/>
      <c r="E8" s="3">
        <v>40706.720000000001</v>
      </c>
      <c r="F8" s="3"/>
      <c r="G8" s="3">
        <v>7172.11</v>
      </c>
      <c r="I8" t="str">
        <f>VLOOKUP(A8,bnc_Map!A:C,3,FALSE)</f>
        <v>[BnC-2B01] BnC Acc Depn-Baking Equipment</v>
      </c>
      <c r="J8" s="19">
        <v>418972.28</v>
      </c>
      <c r="L8" s="20"/>
    </row>
    <row r="9" spans="1:12" x14ac:dyDescent="0.45">
      <c r="A9" s="2" t="s">
        <v>17</v>
      </c>
      <c r="B9" s="2" t="s">
        <v>18</v>
      </c>
      <c r="C9" s="2" t="s">
        <v>0</v>
      </c>
      <c r="D9" s="3">
        <v>279445.36</v>
      </c>
      <c r="E9" s="3"/>
      <c r="F9" s="3"/>
      <c r="G9" s="3"/>
      <c r="I9" t="str">
        <f>VLOOKUP(A9,bnc_Map!A:C,3,FALSE)</f>
        <v xml:space="preserve">[BnC-2B01] BnC Baking Equipment </v>
      </c>
      <c r="J9" s="19">
        <v>739124.36</v>
      </c>
      <c r="L9" s="20"/>
    </row>
    <row r="10" spans="1:12" x14ac:dyDescent="0.45">
      <c r="A10" s="2" t="s">
        <v>19</v>
      </c>
      <c r="B10" s="2" t="s">
        <v>20</v>
      </c>
      <c r="C10" s="2" t="s">
        <v>0</v>
      </c>
      <c r="D10" s="3"/>
      <c r="E10" s="3">
        <v>232258.81</v>
      </c>
      <c r="F10" s="3"/>
      <c r="G10" s="3">
        <v>495</v>
      </c>
      <c r="I10" t="str">
        <f>VLOOKUP(A10,bnc_Map!A:C,3,FALSE)</f>
        <v>[BnC-2B01] BnC Acc Depn-Baking Equipment</v>
      </c>
      <c r="J10" s="19">
        <v>227420.19</v>
      </c>
      <c r="L10" s="20"/>
    </row>
    <row r="11" spans="1:12" x14ac:dyDescent="0.45">
      <c r="A11" s="2" t="s">
        <v>21</v>
      </c>
      <c r="B11" s="2" t="s">
        <v>22</v>
      </c>
      <c r="C11" s="2" t="s">
        <v>0</v>
      </c>
      <c r="D11" s="3">
        <v>54470.38</v>
      </c>
      <c r="E11" s="3"/>
      <c r="F11" s="3"/>
      <c r="G11" s="3"/>
      <c r="I11" t="str">
        <f>VLOOKUP(A11,bnc_Map!A:C,3,FALSE)</f>
        <v xml:space="preserve">[BnC-2B01] BnC Baking Equipment </v>
      </c>
      <c r="J11" s="19">
        <v>514149.38</v>
      </c>
      <c r="L11" s="20"/>
    </row>
    <row r="12" spans="1:12" x14ac:dyDescent="0.45">
      <c r="A12" s="2" t="s">
        <v>23</v>
      </c>
      <c r="B12" s="2" t="s">
        <v>24</v>
      </c>
      <c r="C12" s="2" t="s">
        <v>0</v>
      </c>
      <c r="D12" s="3"/>
      <c r="E12" s="3">
        <v>48519.47</v>
      </c>
      <c r="F12" s="3"/>
      <c r="G12" s="3">
        <v>193.14</v>
      </c>
      <c r="I12" t="str">
        <f>VLOOKUP(A12,bnc_Map!A:C,3,FALSE)</f>
        <v>[BnC-2B01] BnC Acc Depn-Baking Equipment</v>
      </c>
      <c r="J12" s="19">
        <v>411159.53</v>
      </c>
      <c r="L12" s="20"/>
    </row>
    <row r="13" spans="1:12" x14ac:dyDescent="0.45">
      <c r="A13" s="2" t="s">
        <v>25</v>
      </c>
      <c r="B13" s="2" t="s">
        <v>26</v>
      </c>
      <c r="C13" s="2" t="s">
        <v>0</v>
      </c>
      <c r="D13" s="3">
        <v>16806.52</v>
      </c>
      <c r="E13" s="3"/>
      <c r="F13" s="3"/>
      <c r="G13" s="3"/>
      <c r="I13" t="str">
        <f>VLOOKUP(A13,bnc_Map!A:C,3,FALSE)</f>
        <v xml:space="preserve">[BnC-2B01] BnC Baking Equipment </v>
      </c>
      <c r="J13" s="19">
        <v>-442872.48</v>
      </c>
      <c r="L13" s="20"/>
    </row>
    <row r="14" spans="1:12" x14ac:dyDescent="0.45">
      <c r="A14" s="2" t="s">
        <v>27</v>
      </c>
      <c r="B14" s="2" t="s">
        <v>28</v>
      </c>
      <c r="C14" s="2" t="s">
        <v>0</v>
      </c>
      <c r="D14" s="3"/>
      <c r="E14" s="3">
        <v>14850.3</v>
      </c>
      <c r="F14" s="3"/>
      <c r="G14" s="3">
        <v>148.93</v>
      </c>
      <c r="I14" t="str">
        <f>VLOOKUP(A14,bnc_Map!A:C,3,FALSE)</f>
        <v>[BnC-2B01] BnC Acc Depn-Baking Equipment</v>
      </c>
      <c r="J14" s="19">
        <v>-474529.3</v>
      </c>
      <c r="L14" s="20"/>
    </row>
    <row r="15" spans="1:12" x14ac:dyDescent="0.45">
      <c r="A15" s="2" t="s">
        <v>29</v>
      </c>
      <c r="B15" s="2" t="s">
        <v>30</v>
      </c>
      <c r="C15" s="2" t="s">
        <v>0</v>
      </c>
      <c r="D15" s="3">
        <v>128862.03</v>
      </c>
      <c r="E15" s="3"/>
      <c r="F15" s="3"/>
      <c r="G15" s="3"/>
      <c r="I15" t="str">
        <f>VLOOKUP(A15,bnc_Map!A:C,3,FALSE)</f>
        <v xml:space="preserve">[BnC-2B01] BnC Baking Equipment </v>
      </c>
      <c r="J15" s="19">
        <v>-330816.96999999997</v>
      </c>
      <c r="L15" s="20"/>
    </row>
    <row r="16" spans="1:12" x14ac:dyDescent="0.45">
      <c r="A16" s="2" t="s">
        <v>31</v>
      </c>
      <c r="B16" s="2" t="s">
        <v>32</v>
      </c>
      <c r="C16" s="2" t="s">
        <v>0</v>
      </c>
      <c r="D16" s="3"/>
      <c r="E16" s="3">
        <v>102460.11</v>
      </c>
      <c r="F16" s="3"/>
      <c r="G16" s="3">
        <v>1483.89</v>
      </c>
      <c r="I16" t="str">
        <f>VLOOKUP(A16,bnc_Map!A:C,3,FALSE)</f>
        <v>[BnC-2B01] BnC Acc Depn-Baking Equipment</v>
      </c>
      <c r="J16" s="19">
        <v>-562139.11</v>
      </c>
      <c r="L16" s="20"/>
    </row>
    <row r="17" spans="1:12" x14ac:dyDescent="0.45">
      <c r="A17" s="2" t="s">
        <v>33</v>
      </c>
      <c r="B17" s="2" t="s">
        <v>34</v>
      </c>
      <c r="C17" s="2" t="s">
        <v>0</v>
      </c>
      <c r="D17" s="3">
        <v>71300</v>
      </c>
      <c r="E17" s="3"/>
      <c r="F17" s="3"/>
      <c r="G17" s="3"/>
      <c r="I17" t="str">
        <f>VLOOKUP(A17,bnc_Map!A:C,3,FALSE)</f>
        <v xml:space="preserve">[BnC-2B01] BnC Baking Equipment </v>
      </c>
      <c r="J17" s="19">
        <v>-388379</v>
      </c>
      <c r="L17" s="20"/>
    </row>
    <row r="18" spans="1:12" x14ac:dyDescent="0.45">
      <c r="A18" s="2" t="s">
        <v>35</v>
      </c>
      <c r="B18" s="2" t="s">
        <v>36</v>
      </c>
      <c r="C18" s="2" t="s">
        <v>0</v>
      </c>
      <c r="D18" s="3"/>
      <c r="E18" s="3">
        <v>58842.42</v>
      </c>
      <c r="F18" s="3"/>
      <c r="G18" s="3">
        <v>627.34</v>
      </c>
      <c r="I18" t="str">
        <f>VLOOKUP(A18,bnc_Map!A:C,3,FALSE)</f>
        <v>[BnC-2B01] BnC Acc Depn-Baking Equipment</v>
      </c>
      <c r="J18" s="19">
        <v>-518521.42</v>
      </c>
      <c r="L18" s="20"/>
    </row>
    <row r="19" spans="1:12" x14ac:dyDescent="0.45">
      <c r="A19" s="2" t="s">
        <v>37</v>
      </c>
      <c r="B19" s="2" t="s">
        <v>38</v>
      </c>
      <c r="C19" s="2" t="s">
        <v>0</v>
      </c>
      <c r="D19" s="3">
        <v>79360.52</v>
      </c>
      <c r="E19" s="3"/>
      <c r="F19" s="3"/>
      <c r="G19" s="3"/>
      <c r="I19" t="str">
        <f>VLOOKUP(A19,bnc_Map!A:C,3,FALSE)</f>
        <v xml:space="preserve">[BnC-2B01] BnC Baking Equipment </v>
      </c>
      <c r="J19" s="19">
        <v>-380318.48</v>
      </c>
      <c r="L19" s="20"/>
    </row>
    <row r="20" spans="1:12" x14ac:dyDescent="0.45">
      <c r="A20" s="2" t="s">
        <v>39</v>
      </c>
      <c r="B20" s="2" t="s">
        <v>40</v>
      </c>
      <c r="C20" s="2" t="s">
        <v>0</v>
      </c>
      <c r="D20" s="3"/>
      <c r="E20" s="3">
        <v>54306.3</v>
      </c>
      <c r="F20" s="3"/>
      <c r="G20" s="3">
        <v>895.67</v>
      </c>
      <c r="I20" t="str">
        <f>VLOOKUP(A20,bnc_Map!A:C,3,FALSE)</f>
        <v>[BnC-2B01] BnC Acc Depn-Baking Equipment</v>
      </c>
      <c r="J20" s="19">
        <v>-513985.3</v>
      </c>
      <c r="L20" s="20"/>
    </row>
    <row r="21" spans="1:12" x14ac:dyDescent="0.45">
      <c r="A21" s="2" t="s">
        <v>41</v>
      </c>
      <c r="B21" s="2" t="s">
        <v>42</v>
      </c>
      <c r="C21" s="2" t="s">
        <v>0</v>
      </c>
      <c r="D21" s="3">
        <v>32550</v>
      </c>
      <c r="E21" s="3"/>
      <c r="F21" s="3"/>
      <c r="G21" s="3"/>
      <c r="I21" t="str">
        <f>VLOOKUP(A21,bnc_Map!A:C,3,FALSE)</f>
        <v xml:space="preserve">[BnC-2B01] BnC Baking Equipment </v>
      </c>
      <c r="J21" s="19">
        <v>-427129</v>
      </c>
      <c r="L21" s="20"/>
    </row>
    <row r="22" spans="1:12" x14ac:dyDescent="0.45">
      <c r="A22" s="2" t="s">
        <v>43</v>
      </c>
      <c r="B22" s="2" t="s">
        <v>44</v>
      </c>
      <c r="C22" s="2" t="s">
        <v>0</v>
      </c>
      <c r="D22" s="3"/>
      <c r="E22" s="3">
        <v>22716.35</v>
      </c>
      <c r="F22" s="3"/>
      <c r="G22" s="3">
        <v>339.05</v>
      </c>
      <c r="I22" t="str">
        <f>VLOOKUP(A22,bnc_Map!A:C,3,FALSE)</f>
        <v>[BnC-2B01] BnC Acc Depn-Baking Equipment</v>
      </c>
      <c r="J22" s="19">
        <v>-482395.35</v>
      </c>
      <c r="L22" s="20"/>
    </row>
    <row r="23" spans="1:12" x14ac:dyDescent="0.45">
      <c r="A23" s="2" t="s">
        <v>45</v>
      </c>
      <c r="B23" s="2" t="s">
        <v>46</v>
      </c>
      <c r="C23" s="2" t="s">
        <v>0</v>
      </c>
      <c r="D23" s="3">
        <v>166937.59</v>
      </c>
      <c r="E23" s="3"/>
      <c r="F23" s="3"/>
      <c r="G23" s="3"/>
      <c r="I23" t="str">
        <f>VLOOKUP(A23,bnc_Map!A:C,3,FALSE)</f>
        <v xml:space="preserve">[BnC-2B01] BnC Baking Equipment </v>
      </c>
      <c r="J23" s="19">
        <v>-292741.41000000003</v>
      </c>
      <c r="L23" s="20"/>
    </row>
    <row r="24" spans="1:12" x14ac:dyDescent="0.45">
      <c r="A24" s="2" t="s">
        <v>47</v>
      </c>
      <c r="B24" s="2" t="s">
        <v>48</v>
      </c>
      <c r="C24" s="2" t="s">
        <v>0</v>
      </c>
      <c r="D24" s="3"/>
      <c r="E24" s="3">
        <v>113031.1</v>
      </c>
      <c r="F24" s="3"/>
      <c r="G24" s="3">
        <v>1738.94</v>
      </c>
      <c r="I24" t="str">
        <f>VLOOKUP(A24,bnc_Map!A:C,3,FALSE)</f>
        <v>[BnC-2B01] BnC Acc Depn-Baking Equipment</v>
      </c>
      <c r="J24" s="19">
        <v>-572710.1</v>
      </c>
      <c r="L24" s="20"/>
    </row>
    <row r="25" spans="1:12" x14ac:dyDescent="0.45">
      <c r="A25" s="2" t="s">
        <v>49</v>
      </c>
      <c r="B25" s="2" t="s">
        <v>50</v>
      </c>
      <c r="C25" s="2" t="s">
        <v>0</v>
      </c>
      <c r="D25" s="3">
        <v>103840.55</v>
      </c>
      <c r="E25" s="3"/>
      <c r="F25" s="3"/>
      <c r="G25" s="3">
        <v>83750</v>
      </c>
      <c r="I25" t="str">
        <f>VLOOKUP(A25,bnc_Map!A:C,3,FALSE)</f>
        <v xml:space="preserve">[BnC-2B01] BnC Baking Equipment </v>
      </c>
      <c r="J25" s="19">
        <v>-355838.45</v>
      </c>
      <c r="L25" s="20"/>
    </row>
    <row r="26" spans="1:12" x14ac:dyDescent="0.45">
      <c r="A26" s="2" t="s">
        <v>51</v>
      </c>
      <c r="B26" s="2" t="s">
        <v>52</v>
      </c>
      <c r="C26" s="2" t="s">
        <v>0</v>
      </c>
      <c r="D26" s="3"/>
      <c r="E26" s="3">
        <v>85317.06</v>
      </c>
      <c r="F26" s="3">
        <v>69791.199999999997</v>
      </c>
      <c r="G26" s="3"/>
      <c r="I26" t="str">
        <f>VLOOKUP(A26,bnc_Map!A:C,3,FALSE)</f>
        <v>[BnC-2B01] BnC Acc Depn-Baking Equipment</v>
      </c>
      <c r="J26" s="19">
        <v>-544996.06000000006</v>
      </c>
      <c r="L26" s="20"/>
    </row>
    <row r="27" spans="1:12" x14ac:dyDescent="0.45">
      <c r="A27" s="2" t="s">
        <v>53</v>
      </c>
      <c r="B27" s="2" t="s">
        <v>54</v>
      </c>
      <c r="C27" s="2" t="s">
        <v>0</v>
      </c>
      <c r="D27" s="3">
        <v>171540.36</v>
      </c>
      <c r="E27" s="3"/>
      <c r="F27" s="3"/>
      <c r="G27" s="3"/>
      <c r="I27" t="str">
        <f>VLOOKUP(A27,bnc_Map!A:C,3,FALSE)</f>
        <v xml:space="preserve">[BnC-2B01] BnC Baking Equipment </v>
      </c>
      <c r="J27" s="19">
        <v>-288138.64</v>
      </c>
      <c r="L27" s="20"/>
    </row>
    <row r="28" spans="1:12" x14ac:dyDescent="0.45">
      <c r="A28" s="2" t="s">
        <v>55</v>
      </c>
      <c r="B28" s="2" t="s">
        <v>56</v>
      </c>
      <c r="C28" s="2" t="s">
        <v>0</v>
      </c>
      <c r="D28" s="3"/>
      <c r="E28" s="3">
        <v>135800.6</v>
      </c>
      <c r="F28" s="3"/>
      <c r="G28" s="3">
        <v>3573.7</v>
      </c>
      <c r="I28" t="str">
        <f>VLOOKUP(A28,bnc_Map!A:C,3,FALSE)</f>
        <v>[BnC-2B01] BnC Acc Depn-Baking Equipment</v>
      </c>
      <c r="J28" s="19">
        <v>-595479.6</v>
      </c>
      <c r="L28" s="20"/>
    </row>
    <row r="29" spans="1:12" x14ac:dyDescent="0.45">
      <c r="A29" s="2" t="s">
        <v>57</v>
      </c>
      <c r="B29" s="2" t="s">
        <v>58</v>
      </c>
      <c r="C29" s="2" t="s">
        <v>0</v>
      </c>
      <c r="D29" s="3">
        <v>101566.32</v>
      </c>
      <c r="E29" s="3"/>
      <c r="F29" s="3"/>
      <c r="G29" s="3"/>
      <c r="I29" t="str">
        <f>VLOOKUP(A29,bnc_Map!A:C,3,FALSE)</f>
        <v xml:space="preserve">[BnC-2B01] BnC Baking Equipment </v>
      </c>
      <c r="J29" s="19">
        <v>-358112.68</v>
      </c>
      <c r="L29" s="20"/>
    </row>
    <row r="30" spans="1:12" x14ac:dyDescent="0.45">
      <c r="A30" s="2" t="s">
        <v>59</v>
      </c>
      <c r="B30" s="2" t="s">
        <v>60</v>
      </c>
      <c r="C30" s="2" t="s">
        <v>0</v>
      </c>
      <c r="D30" s="3"/>
      <c r="E30" s="3">
        <v>78293.2</v>
      </c>
      <c r="F30" s="3"/>
      <c r="G30" s="3">
        <v>2116</v>
      </c>
      <c r="I30" t="str">
        <f>VLOOKUP(A30,bnc_Map!A:C,3,FALSE)</f>
        <v>[BnC-2B01] BnC Acc Depn-Baking Equipment</v>
      </c>
      <c r="J30" s="19">
        <v>-537972.19999999995</v>
      </c>
      <c r="L30" s="20"/>
    </row>
    <row r="31" spans="1:12" x14ac:dyDescent="0.45">
      <c r="A31" s="2" t="s">
        <v>61</v>
      </c>
      <c r="B31" s="2" t="s">
        <v>62</v>
      </c>
      <c r="C31" s="2" t="s">
        <v>0</v>
      </c>
      <c r="D31" s="3">
        <v>144605.93</v>
      </c>
      <c r="E31" s="3"/>
      <c r="F31" s="3"/>
      <c r="G31" s="3"/>
      <c r="I31" t="str">
        <f>VLOOKUP(A31,bnc_Map!A:C,3,FALSE)</f>
        <v xml:space="preserve">[BnC-2B01] BnC Baking Equipment </v>
      </c>
      <c r="J31" s="19">
        <v>-315073.07</v>
      </c>
      <c r="L31" s="20"/>
    </row>
    <row r="32" spans="1:12" x14ac:dyDescent="0.45">
      <c r="A32" s="2" t="s">
        <v>63</v>
      </c>
      <c r="B32" s="2" t="s">
        <v>64</v>
      </c>
      <c r="C32" s="2" t="s">
        <v>0</v>
      </c>
      <c r="D32" s="3"/>
      <c r="E32" s="3">
        <v>90807.32</v>
      </c>
      <c r="F32" s="3"/>
      <c r="G32" s="3">
        <v>3140.37</v>
      </c>
      <c r="I32" t="str">
        <f>VLOOKUP(A32,bnc_Map!A:C,3,FALSE)</f>
        <v>[BnC-2B01] BnC Acc Depn-Baking Equipment</v>
      </c>
      <c r="J32" s="19">
        <v>-550486.32000000007</v>
      </c>
      <c r="L32" s="20"/>
    </row>
    <row r="33" spans="1:12" x14ac:dyDescent="0.45">
      <c r="A33" s="2" t="s">
        <v>65</v>
      </c>
      <c r="B33" s="2" t="s">
        <v>66</v>
      </c>
      <c r="C33" s="2" t="s">
        <v>0</v>
      </c>
      <c r="D33" s="3">
        <v>96957.52</v>
      </c>
      <c r="E33" s="3"/>
      <c r="F33" s="3"/>
      <c r="G33" s="3"/>
      <c r="I33" t="str">
        <f>VLOOKUP(A33,bnc_Map!A:C,3,FALSE)</f>
        <v xml:space="preserve">[BnC-2B01] BnC Baking Equipment </v>
      </c>
      <c r="J33" s="19">
        <v>96957.52</v>
      </c>
      <c r="L33" s="20"/>
    </row>
    <row r="34" spans="1:12" x14ac:dyDescent="0.45">
      <c r="A34" s="2" t="s">
        <v>67</v>
      </c>
      <c r="B34" s="2" t="s">
        <v>68</v>
      </c>
      <c r="C34" s="2" t="s">
        <v>0</v>
      </c>
      <c r="D34" s="3"/>
      <c r="E34" s="3">
        <v>28737.599999999999</v>
      </c>
      <c r="F34" s="3"/>
      <c r="G34" s="3">
        <v>2065.7800000000002</v>
      </c>
      <c r="I34" t="str">
        <f>VLOOKUP(A34,bnc_Map!A:C,3,FALSE)</f>
        <v>[BnC-2B01] BnC Acc Depn-Baking Equipment</v>
      </c>
      <c r="J34" s="19">
        <v>-28737.599999999999</v>
      </c>
      <c r="L34" s="20"/>
    </row>
    <row r="35" spans="1:12" x14ac:dyDescent="0.45">
      <c r="A35" s="2" t="s">
        <v>69</v>
      </c>
      <c r="B35" s="2" t="s">
        <v>70</v>
      </c>
      <c r="C35" s="2" t="s">
        <v>0</v>
      </c>
      <c r="D35" s="3">
        <v>76294.899999999994</v>
      </c>
      <c r="E35" s="3"/>
      <c r="F35" s="3"/>
      <c r="G35" s="3"/>
      <c r="I35" t="str">
        <f>VLOOKUP(A35,bnc_Map!A:C,3,FALSE)</f>
        <v xml:space="preserve">[BnC-2B01] BnC Baking Equipment </v>
      </c>
      <c r="J35" s="19">
        <v>535973.9</v>
      </c>
      <c r="L35" s="20"/>
    </row>
    <row r="36" spans="1:12" x14ac:dyDescent="0.45">
      <c r="A36" s="2" t="s">
        <v>71</v>
      </c>
      <c r="B36" s="2" t="s">
        <v>72</v>
      </c>
      <c r="C36" s="2" t="s">
        <v>0</v>
      </c>
      <c r="D36" s="3"/>
      <c r="E36" s="3">
        <v>3178.72</v>
      </c>
      <c r="F36" s="3"/>
      <c r="G36" s="3">
        <v>1589.36</v>
      </c>
      <c r="I36" t="str">
        <f>VLOOKUP(A36,bnc_Map!A:C,3,FALSE)</f>
        <v>[BnC-2B01] BnC Acc Depn-Baking Equipment</v>
      </c>
      <c r="J36" s="19">
        <v>456500.28</v>
      </c>
      <c r="L36" s="20"/>
    </row>
    <row r="37" spans="1:12" x14ac:dyDescent="0.45">
      <c r="A37" s="2" t="s">
        <v>73</v>
      </c>
      <c r="B37" s="2" t="s">
        <v>74</v>
      </c>
      <c r="C37" s="2" t="s">
        <v>0</v>
      </c>
      <c r="D37" s="3">
        <v>14924.67</v>
      </c>
      <c r="E37" s="3"/>
      <c r="F37" s="3"/>
      <c r="G37" s="3"/>
      <c r="I37" t="str">
        <f>VLOOKUP(A37,bnc_Map!A:C,3,FALSE)</f>
        <v>[BnC-2C01] BnC Computer</v>
      </c>
      <c r="J37" s="19">
        <v>474603.67</v>
      </c>
      <c r="L37" s="20"/>
    </row>
    <row r="38" spans="1:12" x14ac:dyDescent="0.45">
      <c r="A38" s="2" t="s">
        <v>75</v>
      </c>
      <c r="B38" s="2" t="s">
        <v>76</v>
      </c>
      <c r="C38" s="2" t="s">
        <v>0</v>
      </c>
      <c r="D38" s="3"/>
      <c r="E38" s="3">
        <v>9826.3799999999992</v>
      </c>
      <c r="F38" s="3"/>
      <c r="G38" s="3">
        <v>235.38</v>
      </c>
      <c r="I38" t="str">
        <f>VLOOKUP(A38,bnc_Map!A:C,3,FALSE)</f>
        <v>[BnC-2C01] BnC Acc Depreciation - Computer</v>
      </c>
      <c r="J38" s="19">
        <v>449852.62</v>
      </c>
      <c r="L38" s="20"/>
    </row>
    <row r="39" spans="1:12" x14ac:dyDescent="0.45">
      <c r="A39" s="2" t="s">
        <v>77</v>
      </c>
      <c r="B39" s="2" t="s">
        <v>78</v>
      </c>
      <c r="C39" s="2" t="s">
        <v>0</v>
      </c>
      <c r="D39" s="3">
        <v>1380.77</v>
      </c>
      <c r="E39" s="3"/>
      <c r="F39" s="3"/>
      <c r="G39" s="3"/>
      <c r="I39" t="str">
        <f>VLOOKUP(A39,bnc_Map!A:C,3,FALSE)</f>
        <v>[BnC-2C01] BnC Computer</v>
      </c>
      <c r="J39" s="19">
        <v>461059.77</v>
      </c>
      <c r="L39" s="20"/>
    </row>
    <row r="40" spans="1:12" x14ac:dyDescent="0.45">
      <c r="A40" s="2" t="s">
        <v>79</v>
      </c>
      <c r="B40" s="2" t="s">
        <v>80</v>
      </c>
      <c r="C40" s="2" t="s">
        <v>0</v>
      </c>
      <c r="D40" s="3"/>
      <c r="E40" s="3">
        <v>984.05</v>
      </c>
      <c r="F40" s="3"/>
      <c r="G40" s="3">
        <v>13.23</v>
      </c>
      <c r="I40" t="str">
        <f>VLOOKUP(A40,bnc_Map!A:C,3,FALSE)</f>
        <v>[BnC-2C01] BnC Acc Depreciation - Computer</v>
      </c>
      <c r="J40" s="19">
        <v>-984.05</v>
      </c>
      <c r="L40" s="20"/>
    </row>
    <row r="41" spans="1:12" x14ac:dyDescent="0.45">
      <c r="A41" s="2" t="s">
        <v>81</v>
      </c>
      <c r="B41" s="2" t="s">
        <v>82</v>
      </c>
      <c r="C41" s="2" t="s">
        <v>0</v>
      </c>
      <c r="D41" s="3">
        <v>2702</v>
      </c>
      <c r="E41" s="3"/>
      <c r="F41" s="3"/>
      <c r="G41" s="3"/>
      <c r="I41" t="str">
        <f>VLOOKUP(A41,bnc_Map!A:C,3,FALSE)</f>
        <v>[BnC-2C01] BnC Computer</v>
      </c>
      <c r="J41" s="19">
        <v>462381</v>
      </c>
      <c r="L41" s="20"/>
    </row>
    <row r="42" spans="1:12" x14ac:dyDescent="0.45">
      <c r="A42" s="2" t="s">
        <v>83</v>
      </c>
      <c r="B42" s="2" t="s">
        <v>84</v>
      </c>
      <c r="C42" s="2" t="s">
        <v>0</v>
      </c>
      <c r="D42" s="3"/>
      <c r="E42" s="3">
        <v>1576.11</v>
      </c>
      <c r="F42" s="3"/>
      <c r="G42" s="3">
        <v>112.58</v>
      </c>
      <c r="I42" t="str">
        <f>VLOOKUP(A42,bnc_Map!A:C,3,FALSE)</f>
        <v>[BnC-2C01] BnC Acc Depreciation - Computer</v>
      </c>
      <c r="J42" s="19">
        <v>458102.89</v>
      </c>
      <c r="L42" s="20"/>
    </row>
    <row r="43" spans="1:12" x14ac:dyDescent="0.45">
      <c r="A43" s="2" t="s">
        <v>85</v>
      </c>
      <c r="B43" s="2" t="s">
        <v>86</v>
      </c>
      <c r="C43" s="2" t="s">
        <v>0</v>
      </c>
      <c r="D43" s="3">
        <v>1649.21</v>
      </c>
      <c r="E43" s="3"/>
      <c r="F43" s="3"/>
      <c r="G43" s="3"/>
      <c r="I43" t="str">
        <f>VLOOKUP(A43,bnc_Map!A:C,3,FALSE)</f>
        <v>[BnC-2C01] BnC Computer</v>
      </c>
      <c r="J43" s="19">
        <v>461328.21</v>
      </c>
      <c r="L43" s="20"/>
    </row>
    <row r="44" spans="1:12" x14ac:dyDescent="0.45">
      <c r="A44" s="2" t="s">
        <v>87</v>
      </c>
      <c r="B44" s="2" t="s">
        <v>88</v>
      </c>
      <c r="C44" s="2" t="s">
        <v>0</v>
      </c>
      <c r="D44" s="3"/>
      <c r="E44" s="3">
        <v>137.41</v>
      </c>
      <c r="F44" s="3"/>
      <c r="G44" s="3">
        <v>68.709999999999994</v>
      </c>
      <c r="I44" t="str">
        <f>VLOOKUP(A44,bnc_Map!A:C,3,FALSE)</f>
        <v>[BnC-2C01] BnC Acc Depreciation - Computer</v>
      </c>
      <c r="J44" s="19">
        <v>459541.59</v>
      </c>
      <c r="L44" s="20"/>
    </row>
    <row r="45" spans="1:12" x14ac:dyDescent="0.45">
      <c r="A45" s="2" t="s">
        <v>89</v>
      </c>
      <c r="B45" s="2" t="s">
        <v>90</v>
      </c>
      <c r="C45" s="2" t="s">
        <v>0</v>
      </c>
      <c r="D45" s="3">
        <v>8415.2000000000007</v>
      </c>
      <c r="E45" s="3"/>
      <c r="F45" s="3"/>
      <c r="G45" s="3"/>
      <c r="I45" t="str">
        <f>VLOOKUP(A45,bnc_Map!A:C,3,FALSE)</f>
        <v>[BnC-2F01] BnC Furniture &amp; Fitting</v>
      </c>
      <c r="J45" s="19">
        <v>468094.2</v>
      </c>
      <c r="L45" s="20"/>
    </row>
    <row r="46" spans="1:12" x14ac:dyDescent="0.45">
      <c r="A46" s="2" t="s">
        <v>91</v>
      </c>
      <c r="B46" s="2" t="s">
        <v>92</v>
      </c>
      <c r="C46" s="2" t="s">
        <v>0</v>
      </c>
      <c r="D46" s="3"/>
      <c r="E46" s="3">
        <v>1278.8800000000001</v>
      </c>
      <c r="F46" s="3"/>
      <c r="G46" s="3">
        <v>233.76</v>
      </c>
      <c r="I46" t="str">
        <f>VLOOKUP(A46,bnc_Map!A:C,3,FALSE)</f>
        <v>[BnC-2F01] BnC Acc Depn - Furniture &amp; Fitting</v>
      </c>
      <c r="J46" s="19">
        <v>458400.12</v>
      </c>
      <c r="L46" s="20"/>
    </row>
    <row r="47" spans="1:12" x14ac:dyDescent="0.45">
      <c r="A47" s="2" t="s">
        <v>93</v>
      </c>
      <c r="B47" s="2" t="s">
        <v>94</v>
      </c>
      <c r="C47" s="2" t="s">
        <v>0</v>
      </c>
      <c r="D47" s="3">
        <v>42926.64</v>
      </c>
      <c r="E47" s="3"/>
      <c r="F47" s="3"/>
      <c r="G47" s="3"/>
      <c r="I47" t="str">
        <f>VLOOKUP(A47,bnc_Map!A:C,3,FALSE)</f>
        <v>[BnC-2F01] BnC Furniture &amp; Fitting</v>
      </c>
      <c r="J47" s="19">
        <v>502605.64</v>
      </c>
      <c r="L47" s="20"/>
    </row>
    <row r="48" spans="1:12" x14ac:dyDescent="0.45">
      <c r="A48" s="2" t="s">
        <v>95</v>
      </c>
      <c r="B48" s="2" t="s">
        <v>96</v>
      </c>
      <c r="C48" s="2" t="s">
        <v>0</v>
      </c>
      <c r="D48" s="3"/>
      <c r="E48" s="3">
        <v>37876.629999999997</v>
      </c>
      <c r="F48" s="3"/>
      <c r="G48" s="3">
        <v>175</v>
      </c>
      <c r="I48" t="str">
        <f>VLOOKUP(A48,bnc_Map!A:C,3,FALSE)</f>
        <v>[BnC-2F01] BnC Acc Depn - Furniture &amp; Fitting</v>
      </c>
      <c r="J48" s="19">
        <v>-497555.63</v>
      </c>
      <c r="L48" s="20"/>
    </row>
    <row r="49" spans="1:12" x14ac:dyDescent="0.45">
      <c r="A49" s="2" t="s">
        <v>97</v>
      </c>
      <c r="B49" s="2" t="s">
        <v>98</v>
      </c>
      <c r="C49" s="2" t="s">
        <v>0</v>
      </c>
      <c r="D49" s="3">
        <v>42854.43</v>
      </c>
      <c r="E49" s="3"/>
      <c r="F49" s="3">
        <v>2100</v>
      </c>
      <c r="G49" s="3"/>
      <c r="I49" t="str">
        <f>VLOOKUP(A49,bnc_Map!A:C,3,FALSE)</f>
        <v>[BnC-2F01] BnC Furniture &amp; Fitting</v>
      </c>
      <c r="J49" s="19">
        <v>502533.43</v>
      </c>
      <c r="L49" s="20"/>
    </row>
    <row r="50" spans="1:12" x14ac:dyDescent="0.45">
      <c r="A50" s="2" t="s">
        <v>99</v>
      </c>
      <c r="B50" s="2" t="s">
        <v>100</v>
      </c>
      <c r="C50" s="2" t="s">
        <v>0</v>
      </c>
      <c r="D50" s="3"/>
      <c r="E50" s="3">
        <v>40812.76</v>
      </c>
      <c r="F50" s="3"/>
      <c r="G50" s="3">
        <v>58.33</v>
      </c>
      <c r="I50" t="str">
        <f>VLOOKUP(A50,bnc_Map!A:C,3,FALSE)</f>
        <v>[BnC-2F01] BnC Acc Depn - Furniture &amp; Fitting</v>
      </c>
      <c r="J50" s="19">
        <v>-500491.76</v>
      </c>
      <c r="L50" s="20"/>
    </row>
    <row r="51" spans="1:12" x14ac:dyDescent="0.45">
      <c r="A51" s="2" t="s">
        <v>101</v>
      </c>
      <c r="B51" s="2" t="s">
        <v>102</v>
      </c>
      <c r="C51" s="2" t="s">
        <v>0</v>
      </c>
      <c r="D51" s="3">
        <v>37420.18</v>
      </c>
      <c r="E51" s="3"/>
      <c r="F51" s="3"/>
      <c r="G51" s="3"/>
      <c r="I51" t="str">
        <f>VLOOKUP(A51,bnc_Map!A:C,3,FALSE)</f>
        <v>[BnC-2F01] BnC Furniture &amp; Fitting</v>
      </c>
      <c r="J51" s="19">
        <v>497099.18</v>
      </c>
      <c r="L51" s="20"/>
    </row>
    <row r="52" spans="1:12" x14ac:dyDescent="0.45">
      <c r="A52" s="2" t="s">
        <v>103</v>
      </c>
      <c r="B52" s="2" t="s">
        <v>104</v>
      </c>
      <c r="C52" s="2" t="s">
        <v>0</v>
      </c>
      <c r="D52" s="3"/>
      <c r="E52" s="3">
        <v>37420.18</v>
      </c>
      <c r="F52" s="3"/>
      <c r="G52" s="3"/>
      <c r="I52" t="str">
        <f>VLOOKUP(A52,bnc_Map!A:C,3,FALSE)</f>
        <v>[BnC-2F01] BnC Acc Depn - Furniture &amp; Fitting</v>
      </c>
      <c r="J52" s="19">
        <v>-497099.18</v>
      </c>
      <c r="L52" s="20"/>
    </row>
    <row r="53" spans="1:12" x14ac:dyDescent="0.45">
      <c r="A53" s="2" t="s">
        <v>105</v>
      </c>
      <c r="B53" s="2" t="s">
        <v>106</v>
      </c>
      <c r="C53" s="2" t="s">
        <v>0</v>
      </c>
      <c r="D53" s="3">
        <v>51357.760000000002</v>
      </c>
      <c r="E53" s="3"/>
      <c r="F53" s="3"/>
      <c r="G53" s="3"/>
      <c r="I53" t="str">
        <f>VLOOKUP(A53,bnc_Map!A:C,3,FALSE)</f>
        <v>[BnC-2F01] BnC Furniture &amp; Fitting</v>
      </c>
      <c r="J53" s="19">
        <v>511036.76</v>
      </c>
      <c r="L53" s="20"/>
    </row>
    <row r="54" spans="1:12" x14ac:dyDescent="0.45">
      <c r="A54" s="2" t="s">
        <v>107</v>
      </c>
      <c r="B54" s="2" t="s">
        <v>108</v>
      </c>
      <c r="C54" s="2" t="s">
        <v>0</v>
      </c>
      <c r="D54" s="3"/>
      <c r="E54" s="3">
        <v>44892.68</v>
      </c>
      <c r="F54" s="3"/>
      <c r="G54" s="3">
        <v>561.32000000000005</v>
      </c>
      <c r="I54" t="str">
        <f>VLOOKUP(A54,bnc_Map!A:C,3,FALSE)</f>
        <v>[BnC-2F01] BnC Acc Depn - Furniture &amp; Fitting</v>
      </c>
      <c r="J54" s="19">
        <v>-504571.68</v>
      </c>
      <c r="L54" s="20"/>
    </row>
    <row r="55" spans="1:12" x14ac:dyDescent="0.45">
      <c r="A55" s="2" t="s">
        <v>109</v>
      </c>
      <c r="B55" s="2" t="s">
        <v>110</v>
      </c>
      <c r="C55" s="2" t="s">
        <v>0</v>
      </c>
      <c r="D55" s="3">
        <v>14858.87</v>
      </c>
      <c r="E55" s="3"/>
      <c r="F55" s="3"/>
      <c r="G55" s="3"/>
      <c r="I55" t="str">
        <f>VLOOKUP(A55,bnc_Map!A:C,3,FALSE)</f>
        <v>[BnC-2F01] BnC Furniture &amp; Fitting</v>
      </c>
      <c r="J55" s="19">
        <v>474537.87</v>
      </c>
      <c r="L55" s="20"/>
    </row>
    <row r="56" spans="1:12" x14ac:dyDescent="0.45">
      <c r="A56" s="2" t="s">
        <v>111</v>
      </c>
      <c r="B56" s="2" t="s">
        <v>112</v>
      </c>
      <c r="C56" s="2" t="s">
        <v>0</v>
      </c>
      <c r="D56" s="3"/>
      <c r="E56" s="3">
        <v>12996.52</v>
      </c>
      <c r="F56" s="3"/>
      <c r="G56" s="3">
        <v>80.56</v>
      </c>
      <c r="I56" t="str">
        <f>VLOOKUP(A56,bnc_Map!A:C,3,FALSE)</f>
        <v>[BnC-2F01] BnC Acc Depn - Furniture &amp; Fitting</v>
      </c>
      <c r="J56" s="19">
        <v>-472675.52</v>
      </c>
      <c r="L56" s="20"/>
    </row>
    <row r="57" spans="1:12" x14ac:dyDescent="0.45">
      <c r="A57" s="2" t="s">
        <v>113</v>
      </c>
      <c r="B57" s="2" t="s">
        <v>114</v>
      </c>
      <c r="C57" s="2" t="s">
        <v>0</v>
      </c>
      <c r="D57" s="3">
        <v>47690.720000000001</v>
      </c>
      <c r="E57" s="3"/>
      <c r="F57" s="3"/>
      <c r="G57" s="3"/>
      <c r="I57" t="str">
        <f>VLOOKUP(A57,bnc_Map!A:C,3,FALSE)</f>
        <v>[BnC-2F01] BnC Furniture &amp; Fitting</v>
      </c>
      <c r="J57" s="19">
        <v>507369.72</v>
      </c>
      <c r="L57" s="20"/>
    </row>
    <row r="58" spans="1:12" x14ac:dyDescent="0.45">
      <c r="A58" s="2" t="s">
        <v>115</v>
      </c>
      <c r="B58" s="2" t="s">
        <v>116</v>
      </c>
      <c r="C58" s="2" t="s">
        <v>0</v>
      </c>
      <c r="D58" s="3"/>
      <c r="E58" s="3">
        <v>47619.14</v>
      </c>
      <c r="F58" s="3"/>
      <c r="G58" s="3">
        <v>14.32</v>
      </c>
      <c r="I58" t="str">
        <f>VLOOKUP(A58,bnc_Map!A:C,3,FALSE)</f>
        <v>[BnC-2F01] BnC Acc Depn - Furniture &amp; Fitting</v>
      </c>
      <c r="J58" s="19">
        <v>-507298.14</v>
      </c>
      <c r="L58" s="20"/>
    </row>
    <row r="59" spans="1:12" x14ac:dyDescent="0.45">
      <c r="A59" s="2" t="s">
        <v>117</v>
      </c>
      <c r="B59" s="2" t="s">
        <v>118</v>
      </c>
      <c r="C59" s="2" t="s">
        <v>0</v>
      </c>
      <c r="D59" s="3">
        <v>2554</v>
      </c>
      <c r="E59" s="3"/>
      <c r="F59" s="3"/>
      <c r="G59" s="3"/>
      <c r="I59" t="str">
        <f>VLOOKUP(A59,bnc_Map!A:C,3,FALSE)</f>
        <v>[BnC-2F01] BnC Furniture &amp; Fitting</v>
      </c>
      <c r="J59" s="19">
        <v>462233</v>
      </c>
      <c r="L59" s="20"/>
    </row>
    <row r="60" spans="1:12" x14ac:dyDescent="0.45">
      <c r="A60" s="2" t="s">
        <v>119</v>
      </c>
      <c r="B60" s="2" t="s">
        <v>120</v>
      </c>
      <c r="C60" s="2" t="s">
        <v>0</v>
      </c>
      <c r="D60" s="3"/>
      <c r="E60" s="3">
        <v>2483.0700000000002</v>
      </c>
      <c r="F60" s="3"/>
      <c r="G60" s="3"/>
      <c r="I60" t="str">
        <f>VLOOKUP(A60,bnc_Map!A:C,3,FALSE)</f>
        <v>[BnC-2F01] BnC Acc Depn - Furniture &amp; Fitting</v>
      </c>
      <c r="J60" s="19">
        <v>-462162.07</v>
      </c>
      <c r="L60" s="20"/>
    </row>
    <row r="61" spans="1:12" x14ac:dyDescent="0.45">
      <c r="A61" s="2" t="s">
        <v>121</v>
      </c>
      <c r="B61" s="2" t="s">
        <v>122</v>
      </c>
      <c r="C61" s="2" t="s">
        <v>0</v>
      </c>
      <c r="D61" s="3">
        <v>48692.14</v>
      </c>
      <c r="E61" s="3"/>
      <c r="F61" s="3"/>
      <c r="G61" s="3"/>
      <c r="I61" t="str">
        <f>VLOOKUP(A61,bnc_Map!A:C,3,FALSE)</f>
        <v>[BnC-2F01] BnC Furniture &amp; Fitting</v>
      </c>
      <c r="J61" s="19">
        <v>508371.14</v>
      </c>
      <c r="L61" s="20"/>
    </row>
    <row r="62" spans="1:12" x14ac:dyDescent="0.45">
      <c r="A62" s="2" t="s">
        <v>123</v>
      </c>
      <c r="B62" s="2" t="s">
        <v>124</v>
      </c>
      <c r="C62" s="2" t="s">
        <v>0</v>
      </c>
      <c r="D62" s="3"/>
      <c r="E62" s="3">
        <v>42065.91</v>
      </c>
      <c r="F62" s="3"/>
      <c r="G62" s="3">
        <v>256.08999999999997</v>
      </c>
      <c r="I62" t="str">
        <f>VLOOKUP(A62,bnc_Map!A:C,3,FALSE)</f>
        <v>[BnC-2F01] BnC Acc Depn - Furniture &amp; Fitting</v>
      </c>
      <c r="J62" s="19">
        <v>-501744.91000000003</v>
      </c>
      <c r="L62" s="20"/>
    </row>
    <row r="63" spans="1:12" x14ac:dyDescent="0.45">
      <c r="A63" s="2" t="s">
        <v>125</v>
      </c>
      <c r="B63" s="2" t="s">
        <v>126</v>
      </c>
      <c r="C63" s="2" t="s">
        <v>0</v>
      </c>
      <c r="D63" s="3"/>
      <c r="E63" s="3"/>
      <c r="F63" s="3"/>
      <c r="G63" s="3">
        <v>38798.959999999999</v>
      </c>
      <c r="I63" t="str">
        <f>VLOOKUP(A63,bnc_Map!A:C,3,FALSE)</f>
        <v>[BnC-2F01] BnC Furniture &amp; Fitting</v>
      </c>
      <c r="J63" s="19">
        <v>459679</v>
      </c>
      <c r="L63" s="20"/>
    </row>
    <row r="64" spans="1:12" x14ac:dyDescent="0.45">
      <c r="A64" s="2" t="s">
        <v>127</v>
      </c>
      <c r="B64" s="2" t="s">
        <v>128</v>
      </c>
      <c r="C64" s="2" t="s">
        <v>0</v>
      </c>
      <c r="D64" s="3"/>
      <c r="E64" s="3"/>
      <c r="F64" s="3">
        <v>34527.57</v>
      </c>
      <c r="G64" s="3"/>
      <c r="I64" t="str">
        <f>VLOOKUP(A64,bnc_Map!A:C,3,FALSE)</f>
        <v>[BnC-2F01] BnC Acc Depn - Furniture &amp; Fitting</v>
      </c>
      <c r="J64" s="19">
        <v>-459679</v>
      </c>
      <c r="L64" s="20"/>
    </row>
    <row r="65" spans="1:12" x14ac:dyDescent="0.45">
      <c r="A65" s="2" t="s">
        <v>129</v>
      </c>
      <c r="B65" s="2" t="s">
        <v>130</v>
      </c>
      <c r="C65" s="2" t="s">
        <v>0</v>
      </c>
      <c r="D65" s="3">
        <v>35773.480000000003</v>
      </c>
      <c r="E65" s="3"/>
      <c r="F65" s="3">
        <v>3350</v>
      </c>
      <c r="G65" s="3"/>
      <c r="I65" t="str">
        <f>VLOOKUP(A65,bnc_Map!A:C,3,FALSE)</f>
        <v>[BnC-2F01] BnC Furniture &amp; Fitting</v>
      </c>
      <c r="J65" s="19">
        <v>495452.48</v>
      </c>
      <c r="L65" s="20"/>
    </row>
    <row r="66" spans="1:12" x14ac:dyDescent="0.45">
      <c r="A66" s="2" t="s">
        <v>131</v>
      </c>
      <c r="B66" s="2" t="s">
        <v>132</v>
      </c>
      <c r="C66" s="2" t="s">
        <v>0</v>
      </c>
      <c r="D66" s="3"/>
      <c r="E66" s="3">
        <v>32516.54</v>
      </c>
      <c r="F66" s="3"/>
      <c r="G66" s="3">
        <v>93.06</v>
      </c>
      <c r="I66" t="str">
        <f>VLOOKUP(A66,bnc_Map!A:C,3,FALSE)</f>
        <v>[BnC-2F01] BnC Acc Depn - Furniture &amp; Fitting</v>
      </c>
      <c r="J66" s="19">
        <v>-492195.54</v>
      </c>
      <c r="L66" s="20"/>
    </row>
    <row r="67" spans="1:12" x14ac:dyDescent="0.45">
      <c r="A67" s="2" t="s">
        <v>133</v>
      </c>
      <c r="B67" s="2" t="s">
        <v>134</v>
      </c>
      <c r="C67" s="2" t="s">
        <v>0</v>
      </c>
      <c r="D67" s="3">
        <v>30097.94</v>
      </c>
      <c r="E67" s="3"/>
      <c r="F67" s="3"/>
      <c r="G67" s="3"/>
      <c r="I67" t="str">
        <f>VLOOKUP(A67,bnc_Map!A:C,3,FALSE)</f>
        <v>[BnC-2F01] BnC Furniture &amp; Fitting</v>
      </c>
      <c r="J67" s="19">
        <v>489776.94</v>
      </c>
      <c r="L67" s="20"/>
    </row>
    <row r="68" spans="1:12" x14ac:dyDescent="0.45">
      <c r="A68" s="2" t="s">
        <v>135</v>
      </c>
      <c r="B68" s="2" t="s">
        <v>136</v>
      </c>
      <c r="C68" s="2" t="s">
        <v>0</v>
      </c>
      <c r="D68" s="3"/>
      <c r="E68" s="3">
        <v>24864.66</v>
      </c>
      <c r="F68" s="3"/>
      <c r="G68" s="3">
        <v>188.06</v>
      </c>
      <c r="I68" t="str">
        <f>VLOOKUP(A68,bnc_Map!A:C,3,FALSE)</f>
        <v>[BnC-2F01] BnC Acc Depn - Furniture &amp; Fitting</v>
      </c>
      <c r="J68" s="19">
        <v>-484543.66</v>
      </c>
      <c r="L68" s="20"/>
    </row>
    <row r="69" spans="1:12" x14ac:dyDescent="0.45">
      <c r="A69" s="2" t="s">
        <v>137</v>
      </c>
      <c r="B69" s="2" t="s">
        <v>138</v>
      </c>
      <c r="C69" s="2" t="s">
        <v>0</v>
      </c>
      <c r="D69" s="3">
        <v>126461.7</v>
      </c>
      <c r="E69" s="3"/>
      <c r="F69" s="3">
        <v>2625</v>
      </c>
      <c r="G69" s="3"/>
      <c r="I69" t="str">
        <f>VLOOKUP(A69,bnc_Map!A:C,3,FALSE)</f>
        <v>[BnC-2F01] BnC Furniture &amp; Fitting</v>
      </c>
      <c r="J69" s="19">
        <v>586140.69999999995</v>
      </c>
      <c r="L69" s="20"/>
    </row>
    <row r="70" spans="1:12" x14ac:dyDescent="0.45">
      <c r="A70" s="2" t="s">
        <v>139</v>
      </c>
      <c r="B70" s="2" t="s">
        <v>140</v>
      </c>
      <c r="C70" s="2" t="s">
        <v>0</v>
      </c>
      <c r="D70" s="3"/>
      <c r="E70" s="3">
        <v>90726.96</v>
      </c>
      <c r="F70" s="3"/>
      <c r="G70" s="3">
        <v>3507.12</v>
      </c>
      <c r="I70" t="str">
        <f>VLOOKUP(A70,bnc_Map!A:C,3,FALSE)</f>
        <v>[BnC-2F01] BnC Acc Depn - Furniture &amp; Fitting</v>
      </c>
      <c r="J70" s="19">
        <v>-550405.96</v>
      </c>
      <c r="L70" s="20"/>
    </row>
    <row r="71" spans="1:12" x14ac:dyDescent="0.45">
      <c r="A71" s="2" t="s">
        <v>141</v>
      </c>
      <c r="B71" s="2" t="s">
        <v>142</v>
      </c>
      <c r="C71" s="2" t="s">
        <v>0</v>
      </c>
      <c r="D71" s="3">
        <v>13252</v>
      </c>
      <c r="E71" s="3"/>
      <c r="F71" s="3"/>
      <c r="G71" s="3"/>
      <c r="I71" t="str">
        <f>VLOOKUP(A71,bnc_Map!A:C,3,FALSE)</f>
        <v>[BnC-2F01] BnC Furniture &amp; Fitting</v>
      </c>
      <c r="J71" s="19">
        <v>472931</v>
      </c>
      <c r="L71" s="20"/>
    </row>
    <row r="72" spans="1:12" x14ac:dyDescent="0.45">
      <c r="A72" s="2" t="s">
        <v>143</v>
      </c>
      <c r="B72" s="2" t="s">
        <v>144</v>
      </c>
      <c r="C72" s="2" t="s">
        <v>0</v>
      </c>
      <c r="D72" s="3"/>
      <c r="E72" s="3">
        <v>4503.6099999999997</v>
      </c>
      <c r="F72" s="3"/>
      <c r="G72" s="3">
        <v>368.12</v>
      </c>
      <c r="I72" t="str">
        <f>VLOOKUP(A72,bnc_Map!A:C,3,FALSE)</f>
        <v>[BnC-2F01] BnC Acc Depn - Furniture &amp; Fitting</v>
      </c>
      <c r="J72" s="19">
        <v>-464182.61</v>
      </c>
      <c r="L72" s="20"/>
    </row>
    <row r="73" spans="1:12" x14ac:dyDescent="0.45">
      <c r="A73" s="2" t="s">
        <v>145</v>
      </c>
      <c r="B73" s="2" t="s">
        <v>146</v>
      </c>
      <c r="C73" s="2" t="s">
        <v>0</v>
      </c>
      <c r="D73" s="3">
        <v>50629.04</v>
      </c>
      <c r="E73" s="3"/>
      <c r="F73" s="3"/>
      <c r="G73" s="3"/>
      <c r="I73" t="str">
        <f>VLOOKUP(A73,bnc_Map!A:C,3,FALSE)</f>
        <v>[BnC-2F01] BnC Furniture &amp; Fitting</v>
      </c>
      <c r="J73" s="19">
        <v>510308.04</v>
      </c>
      <c r="L73" s="20"/>
    </row>
    <row r="74" spans="1:12" x14ac:dyDescent="0.45">
      <c r="A74" s="2" t="s">
        <v>147</v>
      </c>
      <c r="B74" s="2" t="s">
        <v>148</v>
      </c>
      <c r="C74" s="2" t="s">
        <v>0</v>
      </c>
      <c r="D74" s="3"/>
      <c r="E74" s="3">
        <v>2812.62</v>
      </c>
      <c r="F74" s="3"/>
      <c r="G74" s="3">
        <v>1406.31</v>
      </c>
      <c r="I74" t="str">
        <f>VLOOKUP(A74,bnc_Map!A:C,3,FALSE)</f>
        <v>[BnC-2F01] BnC Acc Depn - Furniture &amp; Fitting</v>
      </c>
      <c r="J74" s="19">
        <v>-462491.62</v>
      </c>
      <c r="L74" s="20"/>
    </row>
    <row r="75" spans="1:12" x14ac:dyDescent="0.45">
      <c r="A75" s="2" t="s">
        <v>149</v>
      </c>
      <c r="B75" s="2" t="s">
        <v>150</v>
      </c>
      <c r="C75" s="2" t="s">
        <v>0</v>
      </c>
      <c r="D75" s="3">
        <v>71398.83</v>
      </c>
      <c r="E75" s="3"/>
      <c r="F75" s="3"/>
      <c r="G75" s="3"/>
      <c r="I75" t="str">
        <f>VLOOKUP(A75,bnc_Map!A:C,3,FALSE)</f>
        <v>[BnC-2I01] BnC Long Term Investment</v>
      </c>
      <c r="J75" s="19">
        <v>531077.82999999996</v>
      </c>
      <c r="L75" s="20"/>
    </row>
    <row r="76" spans="1:12" x14ac:dyDescent="0.45">
      <c r="A76" s="2" t="s">
        <v>151</v>
      </c>
      <c r="B76" s="2" t="s">
        <v>152</v>
      </c>
      <c r="C76" s="2" t="s">
        <v>0</v>
      </c>
      <c r="D76" s="3">
        <v>58927.01</v>
      </c>
      <c r="E76" s="3"/>
      <c r="F76" s="3">
        <v>9000</v>
      </c>
      <c r="G76" s="3"/>
      <c r="I76" t="str">
        <f>VLOOKUP(A76,bnc_Map!A:C,3,FALSE)</f>
        <v>[BnC-2K01] BnC Kitchen Equipment</v>
      </c>
      <c r="J76" s="19">
        <v>-400751.99</v>
      </c>
      <c r="L76" s="20"/>
    </row>
    <row r="77" spans="1:12" x14ac:dyDescent="0.45">
      <c r="A77" s="2" t="s">
        <v>153</v>
      </c>
      <c r="B77" s="2" t="s">
        <v>154</v>
      </c>
      <c r="C77" s="2" t="s">
        <v>0</v>
      </c>
      <c r="D77" s="3">
        <v>1545</v>
      </c>
      <c r="E77" s="3"/>
      <c r="F77" s="3"/>
      <c r="G77" s="3"/>
      <c r="I77" t="str">
        <f>VLOOKUP(A77,bnc_Map!A:C,3,FALSE)</f>
        <v>[BnC-2K01] BnC Kitchen Equipment</v>
      </c>
      <c r="J77" s="19">
        <v>461224</v>
      </c>
      <c r="L77" s="20"/>
    </row>
    <row r="78" spans="1:12" x14ac:dyDescent="0.45">
      <c r="A78" s="2" t="s">
        <v>1564</v>
      </c>
      <c r="B78" s="2" t="s">
        <v>1565</v>
      </c>
      <c r="C78" s="2" t="s">
        <v>0</v>
      </c>
      <c r="D78" s="3">
        <v>2150</v>
      </c>
      <c r="E78" s="3"/>
      <c r="F78" s="3">
        <v>2150</v>
      </c>
      <c r="G78" s="3"/>
      <c r="I78" t="str">
        <f>VLOOKUP(A78,bnc_Map!A:C,3,FALSE)</f>
        <v>[BnC-2K01] BnC Kitchen Equipment</v>
      </c>
      <c r="J78" s="19">
        <v>-457529</v>
      </c>
      <c r="L78" s="20"/>
    </row>
    <row r="79" spans="1:12" x14ac:dyDescent="0.45">
      <c r="A79" s="2" t="s">
        <v>155</v>
      </c>
      <c r="B79" s="2" t="s">
        <v>156</v>
      </c>
      <c r="C79" s="2" t="s">
        <v>0</v>
      </c>
      <c r="D79" s="3">
        <v>6130</v>
      </c>
      <c r="E79" s="3"/>
      <c r="F79" s="3"/>
      <c r="G79" s="3"/>
      <c r="I79" t="str">
        <f>VLOOKUP(A79,bnc_Map!A:C,3,FALSE)</f>
        <v>[BnC-2K01] BnC Kitchen Equipment</v>
      </c>
      <c r="J79" s="19">
        <v>465809</v>
      </c>
      <c r="L79" s="20"/>
    </row>
    <row r="80" spans="1:12" x14ac:dyDescent="0.45">
      <c r="A80" s="2" t="s">
        <v>1566</v>
      </c>
      <c r="B80" s="2" t="s">
        <v>1567</v>
      </c>
      <c r="C80" s="2" t="s">
        <v>0</v>
      </c>
      <c r="D80" s="3">
        <v>2200</v>
      </c>
      <c r="E80" s="3"/>
      <c r="F80" s="3"/>
      <c r="G80" s="3"/>
      <c r="I80" t="str">
        <f>VLOOKUP(A80,bnc_Map!A:C,3,FALSE)</f>
        <v>[BnC-2K01] BnC Kitchen Equipment</v>
      </c>
      <c r="J80" s="19">
        <v>-457479</v>
      </c>
      <c r="L80" s="20"/>
    </row>
    <row r="81" spans="1:12" x14ac:dyDescent="0.45">
      <c r="A81" s="2" t="s">
        <v>157</v>
      </c>
      <c r="B81" s="2" t="s">
        <v>158</v>
      </c>
      <c r="C81" s="2" t="s">
        <v>0</v>
      </c>
      <c r="D81" s="3">
        <v>37099.629999999997</v>
      </c>
      <c r="E81" s="3"/>
      <c r="F81" s="3"/>
      <c r="G81" s="3"/>
      <c r="I81" t="str">
        <f>VLOOKUP(A81,bnc_Map!A:C,3,FALSE)</f>
        <v>[BnC-2O01] BnC Office Equipment</v>
      </c>
      <c r="J81" s="19">
        <v>496778.63</v>
      </c>
      <c r="L81" s="20"/>
    </row>
    <row r="82" spans="1:12" x14ac:dyDescent="0.45">
      <c r="A82" s="2" t="s">
        <v>159</v>
      </c>
      <c r="B82" s="2" t="s">
        <v>160</v>
      </c>
      <c r="C82" s="2" t="s">
        <v>0</v>
      </c>
      <c r="D82" s="3"/>
      <c r="E82" s="3">
        <v>35005.81</v>
      </c>
      <c r="F82" s="3"/>
      <c r="G82" s="3">
        <v>93.39</v>
      </c>
      <c r="I82" t="str">
        <f>VLOOKUP(A82,bnc_Map!A:C,3,FALSE)</f>
        <v>[BnC-2O01] BnC Acc Depreciation - Office Equipment</v>
      </c>
      <c r="J82" s="19">
        <v>-494684.81</v>
      </c>
      <c r="L82" s="20"/>
    </row>
    <row r="83" spans="1:12" x14ac:dyDescent="0.45">
      <c r="A83" s="2" t="s">
        <v>161</v>
      </c>
      <c r="B83" s="2" t="s">
        <v>162</v>
      </c>
      <c r="C83" s="2" t="s">
        <v>0</v>
      </c>
      <c r="D83" s="3">
        <v>13015.4</v>
      </c>
      <c r="E83" s="3"/>
      <c r="F83" s="3"/>
      <c r="G83" s="3"/>
      <c r="I83" t="str">
        <f>VLOOKUP(A83,bnc_Map!A:C,3,FALSE)</f>
        <v>[BnC-2O01] BnC Office Equipment</v>
      </c>
      <c r="J83" s="19">
        <v>472694.4</v>
      </c>
      <c r="L83" s="20"/>
    </row>
    <row r="84" spans="1:12" x14ac:dyDescent="0.45">
      <c r="A84" s="2" t="s">
        <v>163</v>
      </c>
      <c r="B84" s="2" t="s">
        <v>164</v>
      </c>
      <c r="C84" s="2" t="s">
        <v>0</v>
      </c>
      <c r="D84" s="3"/>
      <c r="E84" s="3">
        <v>13015.4</v>
      </c>
      <c r="F84" s="3"/>
      <c r="G84" s="3"/>
      <c r="I84" t="str">
        <f>VLOOKUP(A84,bnc_Map!A:C,3,FALSE)</f>
        <v>[BnC-2O01] BnC Acc Depreciation - Office Equipment</v>
      </c>
      <c r="J84" s="19">
        <v>-472694.4</v>
      </c>
      <c r="L84" s="20"/>
    </row>
    <row r="85" spans="1:12" x14ac:dyDescent="0.45">
      <c r="A85" s="2" t="s">
        <v>165</v>
      </c>
      <c r="B85" s="2" t="s">
        <v>166</v>
      </c>
      <c r="C85" s="2" t="s">
        <v>0</v>
      </c>
      <c r="D85" s="3">
        <v>4149.8900000000003</v>
      </c>
      <c r="E85" s="3"/>
      <c r="F85" s="3"/>
      <c r="G85" s="3"/>
      <c r="I85" t="str">
        <f>VLOOKUP(A85,bnc_Map!A:C,3,FALSE)</f>
        <v>[BnC-2O01] BnC Office Equipment</v>
      </c>
      <c r="J85" s="19">
        <v>463828.89</v>
      </c>
      <c r="L85" s="20"/>
    </row>
    <row r="86" spans="1:12" x14ac:dyDescent="0.45">
      <c r="A86" s="2" t="s">
        <v>167</v>
      </c>
      <c r="B86" s="2" t="s">
        <v>168</v>
      </c>
      <c r="C86" s="2" t="s">
        <v>0</v>
      </c>
      <c r="D86" s="3"/>
      <c r="E86" s="3">
        <v>4149.8900000000003</v>
      </c>
      <c r="F86" s="3"/>
      <c r="G86" s="3"/>
      <c r="I86" t="str">
        <f>VLOOKUP(A86,bnc_Map!A:C,3,FALSE)</f>
        <v>[BnC-2O01] BnC Acc Depreciation - Office Equipment</v>
      </c>
      <c r="J86" s="19">
        <v>-463828.89</v>
      </c>
      <c r="L86" s="20"/>
    </row>
    <row r="87" spans="1:12" x14ac:dyDescent="0.45">
      <c r="A87" s="2" t="s">
        <v>169</v>
      </c>
      <c r="B87" s="2" t="s">
        <v>170</v>
      </c>
      <c r="C87" s="2" t="s">
        <v>0</v>
      </c>
      <c r="D87" s="3">
        <v>21821.81</v>
      </c>
      <c r="E87" s="3"/>
      <c r="F87" s="3"/>
      <c r="G87" s="3"/>
      <c r="I87" t="str">
        <f>VLOOKUP(A87,bnc_Map!A:C,3,FALSE)</f>
        <v>[BnC-2O01] BnC Office Equipment</v>
      </c>
      <c r="J87" s="19">
        <v>481500.81</v>
      </c>
      <c r="L87" s="20"/>
    </row>
    <row r="88" spans="1:12" x14ac:dyDescent="0.45">
      <c r="A88" s="2" t="s">
        <v>171</v>
      </c>
      <c r="B88" s="2" t="s">
        <v>172</v>
      </c>
      <c r="C88" s="2" t="s">
        <v>0</v>
      </c>
      <c r="D88" s="3"/>
      <c r="E88" s="3">
        <v>21721.81</v>
      </c>
      <c r="F88" s="3"/>
      <c r="G88" s="3">
        <v>20</v>
      </c>
      <c r="I88" t="str">
        <f>VLOOKUP(A88,bnc_Map!A:C,3,FALSE)</f>
        <v>[BnC-2O01] BnC Acc Depreciation - Office Equipment</v>
      </c>
      <c r="J88" s="19">
        <v>-481400.81</v>
      </c>
      <c r="L88" s="20"/>
    </row>
    <row r="89" spans="1:12" x14ac:dyDescent="0.45">
      <c r="A89" s="2" t="s">
        <v>173</v>
      </c>
      <c r="B89" s="2" t="s">
        <v>174</v>
      </c>
      <c r="C89" s="2" t="s">
        <v>0</v>
      </c>
      <c r="D89" s="3">
        <v>10892.17</v>
      </c>
      <c r="E89" s="3"/>
      <c r="F89" s="3"/>
      <c r="G89" s="3"/>
      <c r="I89" t="str">
        <f>VLOOKUP(A89,bnc_Map!A:C,3,FALSE)</f>
        <v>[BnC-2O01] BnC Office Equipment</v>
      </c>
      <c r="J89" s="19">
        <v>470571.17</v>
      </c>
      <c r="L89" s="20"/>
    </row>
    <row r="90" spans="1:12" x14ac:dyDescent="0.45">
      <c r="A90" s="97" t="s">
        <v>175</v>
      </c>
      <c r="B90" s="97" t="s">
        <v>176</v>
      </c>
      <c r="C90" s="97" t="s">
        <v>0</v>
      </c>
      <c r="D90" s="98"/>
      <c r="E90" s="98">
        <v>10892.17</v>
      </c>
      <c r="F90" s="98"/>
      <c r="G90" s="98"/>
      <c r="I90" t="str">
        <f>VLOOKUP(A90,bnc_Map!A:C,3,FALSE)</f>
        <v>[BnC-2O01] BnC Acc Depreciation - Office Equipment</v>
      </c>
      <c r="J90" s="19">
        <v>-470571.17</v>
      </c>
      <c r="L90" s="20"/>
    </row>
    <row r="91" spans="1:12" x14ac:dyDescent="0.45">
      <c r="A91" s="97" t="s">
        <v>177</v>
      </c>
      <c r="B91" s="97" t="s">
        <v>178</v>
      </c>
      <c r="C91" s="97" t="s">
        <v>0</v>
      </c>
      <c r="D91" s="98">
        <v>13226.95</v>
      </c>
      <c r="E91" s="98"/>
      <c r="F91" s="98"/>
      <c r="G91" s="98"/>
      <c r="I91" t="str">
        <f>VLOOKUP(A91,bnc_Map!A:C,3,FALSE)</f>
        <v>[BnC-2O01] BnC Office Equipment</v>
      </c>
      <c r="J91" s="19">
        <v>472905.95</v>
      </c>
      <c r="L91" s="20"/>
    </row>
    <row r="92" spans="1:12" x14ac:dyDescent="0.45">
      <c r="A92" s="97" t="s">
        <v>179</v>
      </c>
      <c r="B92" s="97" t="s">
        <v>180</v>
      </c>
      <c r="C92" s="97" t="s">
        <v>0</v>
      </c>
      <c r="D92" s="98"/>
      <c r="E92" s="98">
        <v>12972.6</v>
      </c>
      <c r="F92" s="98"/>
      <c r="G92" s="98">
        <v>39.5</v>
      </c>
      <c r="I92" t="str">
        <f>VLOOKUP(A92,bnc_Map!A:C,3,FALSE)</f>
        <v>[BnC-2O01] BnC Acc Depreciation - Office Equipment</v>
      </c>
      <c r="J92" s="19">
        <v>-472651.6</v>
      </c>
      <c r="L92" s="20"/>
    </row>
    <row r="93" spans="1:12" x14ac:dyDescent="0.45">
      <c r="A93" s="97" t="s">
        <v>181</v>
      </c>
      <c r="B93" s="97" t="s">
        <v>182</v>
      </c>
      <c r="C93" s="97" t="s">
        <v>0</v>
      </c>
      <c r="D93" s="98">
        <v>5969.9</v>
      </c>
      <c r="E93" s="98"/>
      <c r="F93" s="98"/>
      <c r="G93" s="98"/>
      <c r="I93" t="str">
        <f>VLOOKUP(A93,bnc_Map!A:C,3,FALSE)</f>
        <v>[BnC-2O01] BnC Office Equipment</v>
      </c>
      <c r="J93" s="19">
        <v>465648.9</v>
      </c>
      <c r="L93" s="20"/>
    </row>
    <row r="94" spans="1:12" x14ac:dyDescent="0.45">
      <c r="A94" s="97" t="s">
        <v>183</v>
      </c>
      <c r="B94" s="97" t="s">
        <v>184</v>
      </c>
      <c r="C94" s="97" t="s">
        <v>0</v>
      </c>
      <c r="D94" s="98"/>
      <c r="E94" s="98">
        <v>5969.9</v>
      </c>
      <c r="F94" s="98"/>
      <c r="G94" s="98"/>
      <c r="I94" t="str">
        <f>VLOOKUP(A94,bnc_Map!A:C,3,FALSE)</f>
        <v>[BnC-2O01] BnC Acc Depreciation - Office Equipment</v>
      </c>
      <c r="J94" s="19">
        <v>-465648.9</v>
      </c>
      <c r="L94" s="20"/>
    </row>
    <row r="95" spans="1:12" x14ac:dyDescent="0.45">
      <c r="A95" s="97" t="s">
        <v>185</v>
      </c>
      <c r="B95" s="97" t="s">
        <v>186</v>
      </c>
      <c r="C95" s="97" t="s">
        <v>0</v>
      </c>
      <c r="D95" s="98">
        <v>19293.61</v>
      </c>
      <c r="E95" s="98"/>
      <c r="F95" s="98"/>
      <c r="G95" s="98"/>
      <c r="I95" t="str">
        <f>VLOOKUP(A95,bnc_Map!A:C,3,FALSE)</f>
        <v>[BnC-2O01] BnC Office Equipment</v>
      </c>
      <c r="J95" s="19">
        <v>478972.61</v>
      </c>
      <c r="L95" s="20"/>
    </row>
    <row r="96" spans="1:12" x14ac:dyDescent="0.45">
      <c r="A96" s="97" t="s">
        <v>187</v>
      </c>
      <c r="B96" s="97" t="s">
        <v>188</v>
      </c>
      <c r="C96" s="97" t="s">
        <v>0</v>
      </c>
      <c r="D96" s="98"/>
      <c r="E96" s="98">
        <v>19293.61</v>
      </c>
      <c r="F96" s="98"/>
      <c r="G96" s="98"/>
      <c r="I96" t="str">
        <f>VLOOKUP(A96,bnc_Map!A:C,3,FALSE)</f>
        <v>[BnC-2O01] BnC Acc Depreciation - Office Equipment</v>
      </c>
      <c r="J96" s="19">
        <v>-478972.61</v>
      </c>
      <c r="L96" s="20"/>
    </row>
    <row r="97" spans="1:12" x14ac:dyDescent="0.45">
      <c r="A97" s="97" t="s">
        <v>189</v>
      </c>
      <c r="B97" s="97" t="s">
        <v>190</v>
      </c>
      <c r="C97" s="97" t="s">
        <v>0</v>
      </c>
      <c r="D97" s="98"/>
      <c r="E97" s="98"/>
      <c r="F97" s="98"/>
      <c r="G97" s="98">
        <v>15601.47</v>
      </c>
      <c r="I97" t="str">
        <f>VLOOKUP(A97,bnc_Map!A:C,3,FALSE)</f>
        <v>[BnC-2O01] BnC Office Equipment</v>
      </c>
      <c r="J97" s="19">
        <v>459679</v>
      </c>
      <c r="L97" s="20"/>
    </row>
    <row r="98" spans="1:12" x14ac:dyDescent="0.45">
      <c r="A98" s="97" t="s">
        <v>191</v>
      </c>
      <c r="B98" s="97" t="s">
        <v>192</v>
      </c>
      <c r="C98" s="97" t="s">
        <v>0</v>
      </c>
      <c r="D98" s="98"/>
      <c r="E98" s="98"/>
      <c r="F98" s="98">
        <v>15601.47</v>
      </c>
      <c r="G98" s="98"/>
      <c r="I98" t="str">
        <f>VLOOKUP(A98,bnc_Map!A:C,3,FALSE)</f>
        <v>[BnC-2O01] BnC Acc Depreciation - Office Equipment</v>
      </c>
      <c r="J98" s="19">
        <v>-459679</v>
      </c>
      <c r="L98" s="20"/>
    </row>
    <row r="99" spans="1:12" x14ac:dyDescent="0.45">
      <c r="A99" s="97" t="s">
        <v>193</v>
      </c>
      <c r="B99" s="97" t="s">
        <v>194</v>
      </c>
      <c r="C99" s="97" t="s">
        <v>0</v>
      </c>
      <c r="D99" s="98">
        <v>15101.84</v>
      </c>
      <c r="E99" s="98"/>
      <c r="F99" s="98"/>
      <c r="G99" s="98"/>
      <c r="I99" t="str">
        <f>VLOOKUP(A99,bnc_Map!A:C,3,FALSE)</f>
        <v>[BnC-2O01] BnC Office Equipment</v>
      </c>
      <c r="J99" s="19">
        <v>474780.84</v>
      </c>
      <c r="L99" s="20"/>
    </row>
    <row r="100" spans="1:12" x14ac:dyDescent="0.45">
      <c r="A100" s="97" t="s">
        <v>195</v>
      </c>
      <c r="B100" s="97" t="s">
        <v>196</v>
      </c>
      <c r="C100" s="97" t="s">
        <v>0</v>
      </c>
      <c r="D100" s="98"/>
      <c r="E100" s="98">
        <v>15101.84</v>
      </c>
      <c r="F100" s="98"/>
      <c r="G100" s="98"/>
      <c r="I100" t="str">
        <f>VLOOKUP(A100,bnc_Map!A:C,3,FALSE)</f>
        <v>[BnC-2O01] BnC Acc Depreciation - Office Equipment</v>
      </c>
      <c r="J100" s="19">
        <v>-474780.84</v>
      </c>
      <c r="L100" s="20"/>
    </row>
    <row r="101" spans="1:12" x14ac:dyDescent="0.45">
      <c r="A101" s="97" t="s">
        <v>197</v>
      </c>
      <c r="B101" s="97" t="s">
        <v>198</v>
      </c>
      <c r="C101" s="97" t="s">
        <v>0</v>
      </c>
      <c r="D101" s="98">
        <v>16325.91</v>
      </c>
      <c r="E101" s="98"/>
      <c r="F101" s="98"/>
      <c r="G101" s="98"/>
      <c r="I101" t="str">
        <f>VLOOKUP(A101,bnc_Map!A:C,3,FALSE)</f>
        <v>[BnC-2O01] BnC Office Equipment</v>
      </c>
      <c r="J101" s="19">
        <v>476004.91</v>
      </c>
      <c r="L101" s="20"/>
    </row>
    <row r="102" spans="1:12" x14ac:dyDescent="0.45">
      <c r="A102" s="97" t="s">
        <v>199</v>
      </c>
      <c r="B102" s="97" t="s">
        <v>200</v>
      </c>
      <c r="C102" s="97" t="s">
        <v>0</v>
      </c>
      <c r="D102" s="98"/>
      <c r="E102" s="98">
        <v>16325.91</v>
      </c>
      <c r="F102" s="98"/>
      <c r="G102" s="98"/>
      <c r="I102" t="str">
        <f>VLOOKUP(A102,bnc_Map!A:C,3,FALSE)</f>
        <v>[BnC-2O01] BnC Acc Depreciation - Office Equipment</v>
      </c>
      <c r="J102" s="19">
        <v>-476004.91</v>
      </c>
      <c r="L102" s="20"/>
    </row>
    <row r="103" spans="1:12" x14ac:dyDescent="0.45">
      <c r="A103" s="97" t="s">
        <v>201</v>
      </c>
      <c r="B103" s="97" t="s">
        <v>202</v>
      </c>
      <c r="C103" s="97" t="s">
        <v>0</v>
      </c>
      <c r="D103" s="98">
        <v>26070.13</v>
      </c>
      <c r="E103" s="98"/>
      <c r="F103" s="98"/>
      <c r="G103" s="98"/>
      <c r="I103" t="str">
        <f>VLOOKUP(A103,bnc_Map!A:C,3,FALSE)</f>
        <v>[BnC-2O01] BnC Office Equipment</v>
      </c>
      <c r="J103" s="19">
        <v>485749.13</v>
      </c>
      <c r="L103" s="20"/>
    </row>
    <row r="104" spans="1:12" x14ac:dyDescent="0.45">
      <c r="A104" s="97" t="s">
        <v>203</v>
      </c>
      <c r="B104" s="97" t="s">
        <v>204</v>
      </c>
      <c r="C104" s="97" t="s">
        <v>0</v>
      </c>
      <c r="D104" s="98"/>
      <c r="E104" s="98">
        <v>26070.13</v>
      </c>
      <c r="F104" s="98"/>
      <c r="G104" s="98"/>
      <c r="I104" t="str">
        <f>VLOOKUP(A104,bnc_Map!A:C,3,FALSE)</f>
        <v>[BnC-2O01] BnC Acc Depreciation - Office Equipment</v>
      </c>
      <c r="J104" s="19">
        <v>-485749.13</v>
      </c>
      <c r="L104" s="20"/>
    </row>
    <row r="105" spans="1:12" x14ac:dyDescent="0.45">
      <c r="A105" s="97" t="s">
        <v>205</v>
      </c>
      <c r="B105" s="97" t="s">
        <v>206</v>
      </c>
      <c r="C105" s="97" t="s">
        <v>0</v>
      </c>
      <c r="D105" s="98">
        <v>621476</v>
      </c>
      <c r="E105" s="98"/>
      <c r="F105" s="98"/>
      <c r="G105" s="98"/>
      <c r="I105" t="str">
        <f>VLOOKUP(A105,bnc_Map!A:C,3,FALSE)</f>
        <v>[BnC-2R01] BnC Renovation</v>
      </c>
      <c r="J105" s="19">
        <v>1081155</v>
      </c>
      <c r="L105" s="20"/>
    </row>
    <row r="106" spans="1:12" x14ac:dyDescent="0.45">
      <c r="A106" s="97" t="s">
        <v>207</v>
      </c>
      <c r="B106" s="97" t="s">
        <v>208</v>
      </c>
      <c r="C106" s="97" t="s">
        <v>0</v>
      </c>
      <c r="D106" s="98"/>
      <c r="E106" s="98">
        <v>120043.2</v>
      </c>
      <c r="F106" s="98"/>
      <c r="G106" s="98">
        <v>17263.22</v>
      </c>
      <c r="I106" t="str">
        <f>VLOOKUP(A106,bnc_Map!A:C,3,FALSE)</f>
        <v>[BnC-2R01] BnC Acc Depn-Renovation</v>
      </c>
      <c r="J106" s="19">
        <v>-579722.19999999995</v>
      </c>
      <c r="L106" s="20"/>
    </row>
    <row r="107" spans="1:12" x14ac:dyDescent="0.45">
      <c r="A107" s="97" t="s">
        <v>209</v>
      </c>
      <c r="B107" s="97" t="s">
        <v>210</v>
      </c>
      <c r="C107" s="97" t="s">
        <v>0</v>
      </c>
      <c r="D107" s="98">
        <v>443183.93</v>
      </c>
      <c r="E107" s="98"/>
      <c r="F107" s="98">
        <v>12035</v>
      </c>
      <c r="G107" s="98"/>
      <c r="I107" t="str">
        <f>VLOOKUP(A107,bnc_Map!A:C,3,FALSE)</f>
        <v>[BnC-2R01] BnC Renovation</v>
      </c>
      <c r="J107" s="19">
        <v>902862.92999999993</v>
      </c>
      <c r="L107" s="20"/>
    </row>
    <row r="108" spans="1:12" x14ac:dyDescent="0.45">
      <c r="A108" s="97" t="s">
        <v>211</v>
      </c>
      <c r="B108" s="97" t="s">
        <v>212</v>
      </c>
      <c r="C108" s="97" t="s">
        <v>0</v>
      </c>
      <c r="D108" s="98"/>
      <c r="E108" s="98">
        <v>426585.72</v>
      </c>
      <c r="F108" s="98"/>
      <c r="G108" s="98">
        <v>507.82</v>
      </c>
      <c r="I108" t="str">
        <f>VLOOKUP(A108,bnc_Map!A:C,3,FALSE)</f>
        <v>[BnC-2R01] BnC Acc Depn-Renovation</v>
      </c>
      <c r="J108" s="19">
        <v>-886264.72</v>
      </c>
      <c r="L108" s="20"/>
    </row>
    <row r="109" spans="1:12" x14ac:dyDescent="0.45">
      <c r="A109" s="97" t="s">
        <v>213</v>
      </c>
      <c r="B109" s="97" t="s">
        <v>214</v>
      </c>
      <c r="C109" s="97" t="s">
        <v>0</v>
      </c>
      <c r="D109" s="98">
        <v>154958.26999999999</v>
      </c>
      <c r="E109" s="98"/>
      <c r="F109" s="98"/>
      <c r="G109" s="98"/>
      <c r="I109" t="str">
        <f>VLOOKUP(A109,bnc_Map!A:C,3,FALSE)</f>
        <v>[BnC-2R01] BnC Renovation</v>
      </c>
      <c r="J109" s="19">
        <v>614637.27</v>
      </c>
      <c r="L109" s="20"/>
    </row>
    <row r="110" spans="1:12" x14ac:dyDescent="0.45">
      <c r="A110" s="97" t="s">
        <v>215</v>
      </c>
      <c r="B110" s="97" t="s">
        <v>216</v>
      </c>
      <c r="C110" s="97" t="s">
        <v>0</v>
      </c>
      <c r="D110" s="98"/>
      <c r="E110" s="98">
        <v>154958.26999999999</v>
      </c>
      <c r="F110" s="98"/>
      <c r="G110" s="98"/>
      <c r="I110" t="str">
        <f>VLOOKUP(A110,bnc_Map!A:C,3,FALSE)</f>
        <v>[BnC-2R01] BnC Acc Depn-Renovation</v>
      </c>
      <c r="J110" s="19">
        <v>-614637.27</v>
      </c>
      <c r="L110" s="20"/>
    </row>
    <row r="111" spans="1:12" x14ac:dyDescent="0.45">
      <c r="A111" s="97" t="s">
        <v>217</v>
      </c>
      <c r="B111" s="97" t="s">
        <v>218</v>
      </c>
      <c r="C111" s="97" t="s">
        <v>0</v>
      </c>
      <c r="D111" s="98">
        <v>126930.03</v>
      </c>
      <c r="E111" s="98"/>
      <c r="F111" s="98"/>
      <c r="G111" s="98"/>
      <c r="I111" t="str">
        <f>VLOOKUP(A111,bnc_Map!A:C,3,FALSE)</f>
        <v>[BnC-2R01] BnC Renovation</v>
      </c>
      <c r="J111" s="19">
        <v>586609.03</v>
      </c>
      <c r="L111" s="20"/>
    </row>
    <row r="112" spans="1:12" x14ac:dyDescent="0.45">
      <c r="A112" s="97" t="s">
        <v>219</v>
      </c>
      <c r="B112" s="97" t="s">
        <v>220</v>
      </c>
      <c r="C112" s="97" t="s">
        <v>0</v>
      </c>
      <c r="D112" s="98"/>
      <c r="E112" s="98">
        <v>126930.03</v>
      </c>
      <c r="F112" s="98"/>
      <c r="G112" s="98"/>
      <c r="I112" t="str">
        <f>VLOOKUP(A112,bnc_Map!A:C,3,FALSE)</f>
        <v>[BnC-2R01] BnC Acc Depn-Renovation</v>
      </c>
      <c r="J112" s="19">
        <v>-586609.03</v>
      </c>
      <c r="L112" s="20"/>
    </row>
    <row r="113" spans="1:12" x14ac:dyDescent="0.45">
      <c r="A113" s="97" t="s">
        <v>221</v>
      </c>
      <c r="B113" s="97" t="s">
        <v>222</v>
      </c>
      <c r="C113" s="97" t="s">
        <v>0</v>
      </c>
      <c r="D113" s="98">
        <v>243482.43</v>
      </c>
      <c r="E113" s="98"/>
      <c r="F113" s="98"/>
      <c r="G113" s="98"/>
      <c r="I113" t="str">
        <f>VLOOKUP(A113,bnc_Map!A:C,3,FALSE)</f>
        <v>[BnC-2R01] BnC Renovation</v>
      </c>
      <c r="J113" s="19">
        <v>703161.42999999993</v>
      </c>
      <c r="L113" s="20"/>
    </row>
    <row r="114" spans="1:12" x14ac:dyDescent="0.45">
      <c r="A114" s="97" t="s">
        <v>223</v>
      </c>
      <c r="B114" s="97" t="s">
        <v>224</v>
      </c>
      <c r="C114" s="97" t="s">
        <v>0</v>
      </c>
      <c r="D114" s="98"/>
      <c r="E114" s="98">
        <v>243482.43</v>
      </c>
      <c r="F114" s="98"/>
      <c r="G114" s="98"/>
      <c r="I114" t="str">
        <f>VLOOKUP(A114,bnc_Map!A:C,3,FALSE)</f>
        <v>[BnC-2R01] BnC Acc Depn-Renovation</v>
      </c>
      <c r="J114" s="19">
        <v>-703161.42999999993</v>
      </c>
      <c r="L114" s="20"/>
    </row>
    <row r="115" spans="1:12" x14ac:dyDescent="0.45">
      <c r="A115" s="97" t="s">
        <v>225</v>
      </c>
      <c r="B115" s="97" t="s">
        <v>226</v>
      </c>
      <c r="C115" s="97" t="s">
        <v>0</v>
      </c>
      <c r="D115" s="98">
        <v>123321.25</v>
      </c>
      <c r="E115" s="98"/>
      <c r="F115" s="98"/>
      <c r="G115" s="98"/>
      <c r="I115" t="str">
        <f>VLOOKUP(A115,bnc_Map!A:C,3,FALSE)</f>
        <v>[BnC-2R01] BnC Renovation</v>
      </c>
      <c r="J115" s="19">
        <v>583000.25</v>
      </c>
      <c r="L115" s="20"/>
    </row>
    <row r="116" spans="1:12" x14ac:dyDescent="0.45">
      <c r="A116" s="97" t="s">
        <v>227</v>
      </c>
      <c r="B116" s="97" t="s">
        <v>228</v>
      </c>
      <c r="C116" s="97" t="s">
        <v>0</v>
      </c>
      <c r="D116" s="98"/>
      <c r="E116" s="98">
        <v>125035.2</v>
      </c>
      <c r="F116" s="98"/>
      <c r="G116" s="98"/>
      <c r="I116" t="str">
        <f>VLOOKUP(A116,bnc_Map!A:C,3,FALSE)</f>
        <v>[BnC-2R01] BnC Acc Depn-Renovation</v>
      </c>
      <c r="J116" s="19">
        <v>-584714.19999999995</v>
      </c>
      <c r="L116" s="20"/>
    </row>
    <row r="117" spans="1:12" x14ac:dyDescent="0.45">
      <c r="A117" s="97" t="s">
        <v>229</v>
      </c>
      <c r="B117" s="97" t="s">
        <v>230</v>
      </c>
      <c r="C117" s="97" t="s">
        <v>0</v>
      </c>
      <c r="D117" s="98">
        <v>211450.5</v>
      </c>
      <c r="E117" s="98"/>
      <c r="F117" s="98"/>
      <c r="G117" s="98"/>
      <c r="I117" t="str">
        <f>VLOOKUP(A117,bnc_Map!A:C,3,FALSE)</f>
        <v>[BnC-2R01] BnC Renovation</v>
      </c>
      <c r="J117" s="19">
        <v>671129.5</v>
      </c>
      <c r="L117" s="20"/>
    </row>
    <row r="118" spans="1:12" x14ac:dyDescent="0.45">
      <c r="A118" s="97" t="s">
        <v>231</v>
      </c>
      <c r="B118" s="97" t="s">
        <v>232</v>
      </c>
      <c r="C118" s="97" t="s">
        <v>0</v>
      </c>
      <c r="D118" s="98"/>
      <c r="E118" s="98">
        <v>211450.5</v>
      </c>
      <c r="F118" s="98"/>
      <c r="G118" s="98"/>
      <c r="I118" t="str">
        <f>VLOOKUP(A118,bnc_Map!A:C,3,FALSE)</f>
        <v>[BnC-2R01] BnC Acc Depn-Renovation</v>
      </c>
      <c r="J118" s="19">
        <v>-671129.5</v>
      </c>
      <c r="L118" s="20"/>
    </row>
    <row r="119" spans="1:12" x14ac:dyDescent="0.45">
      <c r="A119" s="97" t="s">
        <v>233</v>
      </c>
      <c r="B119" s="97" t="s">
        <v>234</v>
      </c>
      <c r="C119" s="97" t="s">
        <v>0</v>
      </c>
      <c r="D119" s="98">
        <v>61702</v>
      </c>
      <c r="E119" s="98"/>
      <c r="F119" s="98"/>
      <c r="G119" s="98"/>
      <c r="I119" t="str">
        <f>VLOOKUP(A119,bnc_Map!A:C,3,FALSE)</f>
        <v>[BnC-2R01] BnC Renovation</v>
      </c>
      <c r="J119" s="19">
        <v>521381</v>
      </c>
      <c r="L119" s="20"/>
    </row>
    <row r="120" spans="1:12" x14ac:dyDescent="0.45">
      <c r="A120" s="97" t="s">
        <v>235</v>
      </c>
      <c r="B120" s="97" t="s">
        <v>236</v>
      </c>
      <c r="C120" s="97" t="s">
        <v>0</v>
      </c>
      <c r="D120" s="98"/>
      <c r="E120" s="98">
        <v>59988.05</v>
      </c>
      <c r="F120" s="98"/>
      <c r="G120" s="98"/>
      <c r="I120" t="str">
        <f>VLOOKUP(A120,bnc_Map!A:C,3,FALSE)</f>
        <v>[BnC-2R01] BnC Acc Depn-Renovation</v>
      </c>
      <c r="J120" s="19">
        <v>-519667.05</v>
      </c>
      <c r="L120" s="20"/>
    </row>
    <row r="121" spans="1:12" x14ac:dyDescent="0.45">
      <c r="A121" s="97" t="s">
        <v>237</v>
      </c>
      <c r="B121" s="97" t="s">
        <v>238</v>
      </c>
      <c r="C121" s="97" t="s">
        <v>0</v>
      </c>
      <c r="D121" s="98">
        <v>193170</v>
      </c>
      <c r="E121" s="98"/>
      <c r="F121" s="98"/>
      <c r="G121" s="98"/>
      <c r="I121" t="str">
        <f>VLOOKUP(A121,bnc_Map!A:C,3,FALSE)</f>
        <v>[BnC-2R01] BnC Renovation</v>
      </c>
      <c r="J121" s="19">
        <v>652849</v>
      </c>
      <c r="L121" s="20"/>
    </row>
    <row r="122" spans="1:12" x14ac:dyDescent="0.45">
      <c r="A122" s="97" t="s">
        <v>239</v>
      </c>
      <c r="B122" s="97" t="s">
        <v>240</v>
      </c>
      <c r="C122" s="97" t="s">
        <v>0</v>
      </c>
      <c r="D122" s="98"/>
      <c r="E122" s="98">
        <v>193170</v>
      </c>
      <c r="F122" s="98"/>
      <c r="G122" s="98"/>
      <c r="I122" t="str">
        <f>VLOOKUP(A122,bnc_Map!A:C,3,FALSE)</f>
        <v>[BnC-2R01] BnC Acc Depn-Renovation</v>
      </c>
      <c r="J122" s="19">
        <v>-652849</v>
      </c>
      <c r="L122" s="20"/>
    </row>
    <row r="123" spans="1:12" x14ac:dyDescent="0.45">
      <c r="A123" s="97" t="s">
        <v>241</v>
      </c>
      <c r="B123" s="97" t="s">
        <v>242</v>
      </c>
      <c r="C123" s="97" t="s">
        <v>0</v>
      </c>
      <c r="D123" s="98"/>
      <c r="E123" s="98"/>
      <c r="F123" s="98"/>
      <c r="G123" s="98">
        <v>275072.5</v>
      </c>
      <c r="I123" t="str">
        <f>VLOOKUP(A123,bnc_Map!A:C,3,FALSE)</f>
        <v>[BnC-2R01] BnC Renovation</v>
      </c>
      <c r="J123" s="19">
        <v>459679</v>
      </c>
      <c r="L123" s="20"/>
    </row>
    <row r="124" spans="1:12" x14ac:dyDescent="0.45">
      <c r="A124" s="97" t="s">
        <v>243</v>
      </c>
      <c r="B124" s="97" t="s">
        <v>244</v>
      </c>
      <c r="C124" s="97" t="s">
        <v>0</v>
      </c>
      <c r="D124" s="98"/>
      <c r="E124" s="98"/>
      <c r="F124" s="98">
        <v>275073.3</v>
      </c>
      <c r="G124" s="98"/>
      <c r="I124" t="str">
        <f>VLOOKUP(A124,bnc_Map!A:C,3,FALSE)</f>
        <v>[BnC-2R01] BnC Acc Depn-Renovation</v>
      </c>
      <c r="J124" s="19">
        <v>-459679</v>
      </c>
      <c r="L124" s="20"/>
    </row>
    <row r="125" spans="1:12" x14ac:dyDescent="0.45">
      <c r="A125" s="97" t="s">
        <v>245</v>
      </c>
      <c r="B125" s="97" t="s">
        <v>246</v>
      </c>
      <c r="C125" s="97" t="s">
        <v>0</v>
      </c>
      <c r="D125" s="98">
        <v>243984.09</v>
      </c>
      <c r="E125" s="98"/>
      <c r="F125" s="98"/>
      <c r="G125" s="98"/>
      <c r="I125" t="str">
        <f>VLOOKUP(A125,bnc_Map!A:C,3,FALSE)</f>
        <v>[BnC-2R01] BnC Renovation</v>
      </c>
      <c r="J125" s="19">
        <v>703663.09</v>
      </c>
      <c r="L125" s="20"/>
    </row>
    <row r="126" spans="1:12" x14ac:dyDescent="0.45">
      <c r="A126" s="97" t="s">
        <v>247</v>
      </c>
      <c r="B126" s="97" t="s">
        <v>248</v>
      </c>
      <c r="C126" s="97" t="s">
        <v>0</v>
      </c>
      <c r="D126" s="98"/>
      <c r="E126" s="98">
        <v>243984.09</v>
      </c>
      <c r="F126" s="98"/>
      <c r="G126" s="98"/>
      <c r="I126" t="str">
        <f>VLOOKUP(A126,bnc_Map!A:C,3,FALSE)</f>
        <v>[BnC-2R01] BnC Acc Depn-Renovation</v>
      </c>
      <c r="J126" s="19">
        <v>-703663.09</v>
      </c>
      <c r="L126" s="20"/>
    </row>
    <row r="127" spans="1:12" x14ac:dyDescent="0.45">
      <c r="A127" s="97" t="s">
        <v>249</v>
      </c>
      <c r="B127" s="97" t="s">
        <v>250</v>
      </c>
      <c r="C127" s="97" t="s">
        <v>0</v>
      </c>
      <c r="D127" s="98">
        <v>303026.65999999997</v>
      </c>
      <c r="E127" s="98"/>
      <c r="F127" s="98"/>
      <c r="G127" s="98"/>
      <c r="I127" t="str">
        <f>VLOOKUP(A127,bnc_Map!A:C,3,FALSE)</f>
        <v>[BnC-2R01] BnC Renovation</v>
      </c>
      <c r="J127" s="19">
        <v>762705.65999999992</v>
      </c>
      <c r="L127" s="20"/>
    </row>
    <row r="128" spans="1:12" x14ac:dyDescent="0.45">
      <c r="A128" s="97" t="s">
        <v>251</v>
      </c>
      <c r="B128" s="97" t="s">
        <v>252</v>
      </c>
      <c r="C128" s="97" t="s">
        <v>0</v>
      </c>
      <c r="D128" s="98"/>
      <c r="E128" s="98">
        <v>301762.71999999997</v>
      </c>
      <c r="F128" s="98"/>
      <c r="G128" s="98">
        <v>97.22</v>
      </c>
      <c r="I128" t="str">
        <f>VLOOKUP(A128,bnc_Map!A:C,3,FALSE)</f>
        <v>[BnC-2R01] BnC Acc Depn-Renovation</v>
      </c>
      <c r="J128" s="19">
        <v>-761441.72</v>
      </c>
      <c r="L128" s="20"/>
    </row>
    <row r="129" spans="1:12" x14ac:dyDescent="0.45">
      <c r="A129" s="97" t="s">
        <v>253</v>
      </c>
      <c r="B129" s="97" t="s">
        <v>254</v>
      </c>
      <c r="C129" s="97" t="s">
        <v>0</v>
      </c>
      <c r="D129" s="98">
        <v>408352.89</v>
      </c>
      <c r="E129" s="98"/>
      <c r="F129" s="98"/>
      <c r="G129" s="98"/>
      <c r="I129" t="str">
        <f>VLOOKUP(A129,bnc_Map!A:C,3,FALSE)</f>
        <v>[BnC-2R01] BnC Renovation</v>
      </c>
      <c r="J129" s="19">
        <v>868031.89</v>
      </c>
      <c r="L129" s="20"/>
    </row>
    <row r="130" spans="1:12" x14ac:dyDescent="0.45">
      <c r="A130" s="97" t="s">
        <v>255</v>
      </c>
      <c r="B130" s="97" t="s">
        <v>256</v>
      </c>
      <c r="C130" s="97" t="s">
        <v>0</v>
      </c>
      <c r="D130" s="98"/>
      <c r="E130" s="98">
        <v>334285.11</v>
      </c>
      <c r="F130" s="98"/>
      <c r="G130" s="98">
        <v>11540.63</v>
      </c>
      <c r="I130" t="str">
        <f>VLOOKUP(A130,bnc_Map!A:C,3,FALSE)</f>
        <v>[BnC-2R01] BnC Acc Depn-Renovation</v>
      </c>
      <c r="J130" s="19">
        <v>-793964.11</v>
      </c>
      <c r="L130" s="20"/>
    </row>
    <row r="131" spans="1:12" x14ac:dyDescent="0.45">
      <c r="A131" s="97" t="s">
        <v>257</v>
      </c>
      <c r="B131" s="97" t="s">
        <v>258</v>
      </c>
      <c r="C131" s="97" t="s">
        <v>0</v>
      </c>
      <c r="D131" s="98">
        <v>290122.5</v>
      </c>
      <c r="E131" s="98"/>
      <c r="F131" s="98"/>
      <c r="G131" s="98"/>
      <c r="I131" t="str">
        <f>VLOOKUP(A131,bnc_Map!A:C,3,FALSE)</f>
        <v>[BnC-2R01] BnC Renovation</v>
      </c>
      <c r="J131" s="19">
        <v>749801.5</v>
      </c>
      <c r="L131" s="20"/>
    </row>
    <row r="132" spans="1:12" x14ac:dyDescent="0.45">
      <c r="A132" s="97" t="s">
        <v>259</v>
      </c>
      <c r="B132" s="97" t="s">
        <v>260</v>
      </c>
      <c r="C132" s="97" t="s">
        <v>0</v>
      </c>
      <c r="D132" s="98"/>
      <c r="E132" s="98">
        <v>112825.4</v>
      </c>
      <c r="F132" s="98"/>
      <c r="G132" s="98">
        <v>8058.96</v>
      </c>
      <c r="I132" t="str">
        <f>VLOOKUP(A132,bnc_Map!A:C,3,FALSE)</f>
        <v>[BnC-2R01] BnC Acc Depn-Renovation</v>
      </c>
      <c r="J132" s="19">
        <v>-572504.4</v>
      </c>
      <c r="L132" s="20"/>
    </row>
    <row r="133" spans="1:12" x14ac:dyDescent="0.45">
      <c r="A133" s="97" t="s">
        <v>261</v>
      </c>
      <c r="B133" s="97" t="s">
        <v>262</v>
      </c>
      <c r="C133" s="97" t="s">
        <v>0</v>
      </c>
      <c r="D133" s="98">
        <v>307351.77</v>
      </c>
      <c r="E133" s="98"/>
      <c r="F133" s="98"/>
      <c r="G133" s="98"/>
      <c r="I133" t="str">
        <f>VLOOKUP(A133,bnc_Map!A:C,3,FALSE)</f>
        <v>[BnC-2R01] BnC Renovation</v>
      </c>
      <c r="J133" s="19">
        <v>767030.77</v>
      </c>
      <c r="L133" s="20"/>
    </row>
    <row r="134" spans="1:12" x14ac:dyDescent="0.45">
      <c r="A134" s="97" t="s">
        <v>263</v>
      </c>
      <c r="B134" s="97" t="s">
        <v>264</v>
      </c>
      <c r="C134" s="97" t="s">
        <v>0</v>
      </c>
      <c r="D134" s="98"/>
      <c r="E134" s="98">
        <v>17075.04</v>
      </c>
      <c r="F134" s="98"/>
      <c r="G134" s="98">
        <v>8537.52</v>
      </c>
      <c r="I134" t="str">
        <f>VLOOKUP(A134,bnc_Map!A:C,3,FALSE)</f>
        <v>[BnC-2R01] BnC Acc Depn-Renovation</v>
      </c>
      <c r="J134" s="19">
        <v>-476754.04</v>
      </c>
      <c r="L134" s="20"/>
    </row>
    <row r="135" spans="1:12" x14ac:dyDescent="0.45">
      <c r="A135" s="97" t="s">
        <v>265</v>
      </c>
      <c r="B135" s="97" t="s">
        <v>266</v>
      </c>
      <c r="C135" s="97" t="s">
        <v>0</v>
      </c>
      <c r="D135" s="98">
        <v>11094.98</v>
      </c>
      <c r="E135" s="98"/>
      <c r="F135" s="98"/>
      <c r="G135" s="98"/>
      <c r="I135" t="str">
        <f>VLOOKUP(A135,bnc_Map!A:C,3,FALSE)</f>
        <v>[BnC-2S01] BnC Software</v>
      </c>
      <c r="J135" s="19">
        <v>470773.98</v>
      </c>
      <c r="L135" s="20"/>
    </row>
    <row r="136" spans="1:12" x14ac:dyDescent="0.45">
      <c r="A136" s="97" t="s">
        <v>267</v>
      </c>
      <c r="B136" s="97" t="s">
        <v>268</v>
      </c>
      <c r="C136" s="97" t="s">
        <v>0</v>
      </c>
      <c r="D136" s="98"/>
      <c r="E136" s="98">
        <v>10737.8</v>
      </c>
      <c r="F136" s="98"/>
      <c r="G136" s="98">
        <v>44.62</v>
      </c>
      <c r="I136" t="str">
        <f>VLOOKUP(A136,bnc_Map!A:C,3,FALSE)</f>
        <v>[BnC-2S01] BnC Acc Depreciation - Software</v>
      </c>
      <c r="J136" s="19">
        <v>-470416.8</v>
      </c>
      <c r="L136" s="20"/>
    </row>
    <row r="137" spans="1:12" x14ac:dyDescent="0.45">
      <c r="A137" s="97" t="s">
        <v>269</v>
      </c>
      <c r="B137" s="97" t="s">
        <v>270</v>
      </c>
      <c r="C137" s="97" t="s">
        <v>0</v>
      </c>
      <c r="D137" s="98">
        <v>10456.39</v>
      </c>
      <c r="E137" s="98"/>
      <c r="F137" s="98"/>
      <c r="G137" s="98"/>
      <c r="I137" t="str">
        <f>VLOOKUP(A137,bnc_Map!A:C,3,FALSE)</f>
        <v>[BnC-2S01] BnC Software</v>
      </c>
      <c r="J137" s="19">
        <v>470135.39</v>
      </c>
      <c r="L137" s="20"/>
    </row>
    <row r="138" spans="1:12" x14ac:dyDescent="0.45">
      <c r="A138" s="97" t="s">
        <v>271</v>
      </c>
      <c r="B138" s="97" t="s">
        <v>272</v>
      </c>
      <c r="C138" s="97" t="s">
        <v>0</v>
      </c>
      <c r="D138" s="98"/>
      <c r="E138" s="98">
        <v>10556.06</v>
      </c>
      <c r="F138" s="98"/>
      <c r="G138" s="98"/>
      <c r="I138" t="str">
        <f>VLOOKUP(A138,bnc_Map!A:C,3,FALSE)</f>
        <v>[BnC-2S01] BnC Acc Depreciation - Software</v>
      </c>
      <c r="J138" s="19">
        <v>-470235.06</v>
      </c>
      <c r="L138" s="20"/>
    </row>
    <row r="139" spans="1:12" x14ac:dyDescent="0.45">
      <c r="A139" s="97" t="s">
        <v>273</v>
      </c>
      <c r="B139" s="97" t="s">
        <v>274</v>
      </c>
      <c r="C139" s="97" t="s">
        <v>0</v>
      </c>
      <c r="D139" s="98">
        <v>10496.39</v>
      </c>
      <c r="E139" s="98"/>
      <c r="F139" s="98"/>
      <c r="G139" s="98"/>
      <c r="I139" t="str">
        <f>VLOOKUP(A139,bnc_Map!A:C,3,FALSE)</f>
        <v>[BnC-2S01] BnC Software</v>
      </c>
      <c r="J139" s="19">
        <v>470175.39</v>
      </c>
      <c r="L139" s="20"/>
    </row>
    <row r="140" spans="1:12" x14ac:dyDescent="0.45">
      <c r="A140" s="97" t="s">
        <v>275</v>
      </c>
      <c r="B140" s="97" t="s">
        <v>276</v>
      </c>
      <c r="C140" s="97" t="s">
        <v>0</v>
      </c>
      <c r="D140" s="98"/>
      <c r="E140" s="98">
        <v>10396.719999999999</v>
      </c>
      <c r="F140" s="98"/>
      <c r="G140" s="98"/>
      <c r="I140" t="str">
        <f>VLOOKUP(A140,bnc_Map!A:C,3,FALSE)</f>
        <v>[BnC-2S01] BnC Acc Depreciation - Software</v>
      </c>
      <c r="J140" s="19">
        <v>-470075.72</v>
      </c>
      <c r="L140" s="20"/>
    </row>
    <row r="141" spans="1:12" x14ac:dyDescent="0.45">
      <c r="A141" s="97" t="s">
        <v>277</v>
      </c>
      <c r="B141" s="97" t="s">
        <v>278</v>
      </c>
      <c r="C141" s="97" t="s">
        <v>0</v>
      </c>
      <c r="D141" s="98">
        <v>17304.8</v>
      </c>
      <c r="E141" s="98"/>
      <c r="F141" s="98"/>
      <c r="G141" s="98"/>
      <c r="I141" t="str">
        <f>VLOOKUP(A141,bnc_Map!A:C,3,FALSE)</f>
        <v>[BnC-2S01] BnC Software</v>
      </c>
      <c r="J141" s="19">
        <v>476983.8</v>
      </c>
      <c r="L141" s="20"/>
    </row>
    <row r="142" spans="1:12" x14ac:dyDescent="0.45">
      <c r="A142" s="97" t="s">
        <v>279</v>
      </c>
      <c r="B142" s="97" t="s">
        <v>280</v>
      </c>
      <c r="C142" s="97" t="s">
        <v>0</v>
      </c>
      <c r="D142" s="98"/>
      <c r="E142" s="98">
        <v>16954.099999999999</v>
      </c>
      <c r="F142" s="98"/>
      <c r="G142" s="98"/>
      <c r="I142" t="str">
        <f>VLOOKUP(A142,bnc_Map!A:C,3,FALSE)</f>
        <v>[BnC-2S01] BnC Acc Depreciation - Software</v>
      </c>
      <c r="J142" s="19">
        <v>-476633.1</v>
      </c>
      <c r="L142" s="20"/>
    </row>
    <row r="143" spans="1:12" x14ac:dyDescent="0.45">
      <c r="A143" s="97" t="s">
        <v>281</v>
      </c>
      <c r="B143" s="97" t="s">
        <v>282</v>
      </c>
      <c r="C143" s="97" t="s">
        <v>0</v>
      </c>
      <c r="D143" s="98">
        <v>12353.6</v>
      </c>
      <c r="E143" s="98"/>
      <c r="F143" s="98"/>
      <c r="G143" s="98"/>
      <c r="I143" t="str">
        <f>VLOOKUP(A143,bnc_Map!A:C,3,FALSE)</f>
        <v>[BnC-2S01] BnC Software</v>
      </c>
      <c r="J143" s="19">
        <v>472032.6</v>
      </c>
      <c r="L143" s="20"/>
    </row>
    <row r="144" spans="1:12" x14ac:dyDescent="0.45">
      <c r="A144" s="97" t="s">
        <v>283</v>
      </c>
      <c r="B144" s="97" t="s">
        <v>284</v>
      </c>
      <c r="C144" s="97" t="s">
        <v>0</v>
      </c>
      <c r="D144" s="98"/>
      <c r="E144" s="98">
        <v>12967.12</v>
      </c>
      <c r="F144" s="98"/>
      <c r="G144" s="98"/>
      <c r="I144" t="str">
        <f>VLOOKUP(A144,bnc_Map!A:C,3,FALSE)</f>
        <v>[BnC-2S01] BnC Acc Depreciation - Software</v>
      </c>
      <c r="J144" s="19">
        <v>-472646.12</v>
      </c>
      <c r="L144" s="20"/>
    </row>
    <row r="145" spans="1:12" x14ac:dyDescent="0.45">
      <c r="A145" s="97" t="s">
        <v>285</v>
      </c>
      <c r="B145" s="97" t="s">
        <v>286</v>
      </c>
      <c r="C145" s="97" t="s">
        <v>0</v>
      </c>
      <c r="D145" s="98">
        <v>6885</v>
      </c>
      <c r="E145" s="98"/>
      <c r="F145" s="98"/>
      <c r="G145" s="98"/>
      <c r="I145" t="str">
        <f>VLOOKUP(A145,bnc_Map!A:C,3,FALSE)</f>
        <v>[BnC-2S01] BnC Software</v>
      </c>
      <c r="J145" s="19">
        <v>466564</v>
      </c>
      <c r="L145" s="20"/>
    </row>
    <row r="146" spans="1:12" x14ac:dyDescent="0.45">
      <c r="A146" s="97" t="s">
        <v>287</v>
      </c>
      <c r="B146" s="97" t="s">
        <v>288</v>
      </c>
      <c r="C146" s="97" t="s">
        <v>0</v>
      </c>
      <c r="D146" s="98"/>
      <c r="E146" s="98">
        <v>6622.18</v>
      </c>
      <c r="F146" s="98"/>
      <c r="G146" s="98"/>
      <c r="I146" t="str">
        <f>VLOOKUP(A146,bnc_Map!A:C,3,FALSE)</f>
        <v>[BnC-2S01] BnC Acc Depreciation - Software</v>
      </c>
      <c r="J146" s="19">
        <v>-466301.18</v>
      </c>
      <c r="L146" s="20"/>
    </row>
    <row r="147" spans="1:12" x14ac:dyDescent="0.45">
      <c r="A147" s="97" t="s">
        <v>289</v>
      </c>
      <c r="B147" s="97" t="s">
        <v>290</v>
      </c>
      <c r="C147" s="97" t="s">
        <v>0</v>
      </c>
      <c r="D147" s="98">
        <v>15368</v>
      </c>
      <c r="E147" s="98"/>
      <c r="F147" s="98"/>
      <c r="G147" s="98"/>
      <c r="I147" t="str">
        <f>VLOOKUP(A147,bnc_Map!A:C,3,FALSE)</f>
        <v>[BnC-2S01] BnC Software</v>
      </c>
      <c r="J147" s="19">
        <v>475047</v>
      </c>
      <c r="L147" s="20"/>
    </row>
    <row r="148" spans="1:12" x14ac:dyDescent="0.45">
      <c r="A148" s="97" t="s">
        <v>291</v>
      </c>
      <c r="B148" s="97" t="s">
        <v>292</v>
      </c>
      <c r="C148" s="97" t="s">
        <v>0</v>
      </c>
      <c r="D148" s="98"/>
      <c r="E148" s="98">
        <v>15368</v>
      </c>
      <c r="F148" s="98"/>
      <c r="G148" s="98"/>
      <c r="I148" t="str">
        <f>VLOOKUP(A148,bnc_Map!A:C,3,FALSE)</f>
        <v>[BnC-2S01] BnC Acc Depreciation - Software</v>
      </c>
      <c r="J148" s="19">
        <v>-475047</v>
      </c>
      <c r="L148" s="20"/>
    </row>
    <row r="149" spans="1:12" x14ac:dyDescent="0.45">
      <c r="A149" s="97" t="s">
        <v>293</v>
      </c>
      <c r="B149" s="97" t="s">
        <v>294</v>
      </c>
      <c r="C149" s="97" t="s">
        <v>0</v>
      </c>
      <c r="D149" s="98">
        <v>5019.8599999999997</v>
      </c>
      <c r="E149" s="98"/>
      <c r="F149" s="98"/>
      <c r="G149" s="98"/>
      <c r="I149" t="str">
        <f>VLOOKUP(A149,bnc_Map!A:C,3,FALSE)</f>
        <v>[BnC-2S01] BnC Software</v>
      </c>
      <c r="J149" s="19">
        <v>464698.86</v>
      </c>
      <c r="L149" s="20"/>
    </row>
    <row r="150" spans="1:12" x14ac:dyDescent="0.45">
      <c r="A150" s="97" t="s">
        <v>295</v>
      </c>
      <c r="B150" s="97" t="s">
        <v>296</v>
      </c>
      <c r="C150" s="97" t="s">
        <v>0</v>
      </c>
      <c r="D150" s="98"/>
      <c r="E150" s="98">
        <v>5019.8599999999997</v>
      </c>
      <c r="F150" s="98"/>
      <c r="G150" s="98"/>
      <c r="I150" t="str">
        <f>VLOOKUP(A150,bnc_Map!A:C,3,FALSE)</f>
        <v>[BnC-2S01] BnC Acc Depreciation - Software</v>
      </c>
      <c r="J150" s="19">
        <v>-464698.86</v>
      </c>
      <c r="L150" s="20"/>
    </row>
    <row r="151" spans="1:12" x14ac:dyDescent="0.45">
      <c r="A151" s="97" t="s">
        <v>297</v>
      </c>
      <c r="B151" s="97" t="s">
        <v>298</v>
      </c>
      <c r="C151" s="97" t="s">
        <v>0</v>
      </c>
      <c r="D151" s="98">
        <v>4374.3</v>
      </c>
      <c r="E151" s="98"/>
      <c r="F151" s="98"/>
      <c r="G151" s="98"/>
      <c r="I151" t="str">
        <f>VLOOKUP(A151,bnc_Map!A:C,3,FALSE)</f>
        <v>[BnC-2S01] BnC Software</v>
      </c>
      <c r="J151" s="19">
        <v>464053.3</v>
      </c>
      <c r="L151" s="20"/>
    </row>
    <row r="152" spans="1:12" x14ac:dyDescent="0.45">
      <c r="A152" s="97" t="s">
        <v>299</v>
      </c>
      <c r="B152" s="97" t="s">
        <v>300</v>
      </c>
      <c r="C152" s="97" t="s">
        <v>0</v>
      </c>
      <c r="D152" s="98"/>
      <c r="E152" s="98">
        <v>4374.3</v>
      </c>
      <c r="F152" s="98"/>
      <c r="G152" s="98"/>
      <c r="I152" t="str">
        <f>VLOOKUP(A152,bnc_Map!A:C,3,FALSE)</f>
        <v>[BnC-2S01] BnC Acc Depreciation - Software</v>
      </c>
      <c r="J152" s="19">
        <v>-464053.3</v>
      </c>
      <c r="L152" s="20"/>
    </row>
    <row r="153" spans="1:12" x14ac:dyDescent="0.45">
      <c r="A153" s="97" t="s">
        <v>301</v>
      </c>
      <c r="B153" s="97" t="s">
        <v>302</v>
      </c>
      <c r="C153" s="97" t="s">
        <v>0</v>
      </c>
      <c r="D153" s="98">
        <v>6556.5</v>
      </c>
      <c r="E153" s="98"/>
      <c r="F153" s="98"/>
      <c r="G153" s="98"/>
      <c r="I153" t="str">
        <f>VLOOKUP(A153,bnc_Map!A:C,3,FALSE)</f>
        <v>[BnC-2S01] BnC Software</v>
      </c>
      <c r="J153" s="19">
        <v>466235.5</v>
      </c>
      <c r="L153" s="20"/>
    </row>
    <row r="154" spans="1:12" x14ac:dyDescent="0.45">
      <c r="A154" s="97" t="s">
        <v>303</v>
      </c>
      <c r="B154" s="97" t="s">
        <v>304</v>
      </c>
      <c r="C154" s="97" t="s">
        <v>0</v>
      </c>
      <c r="D154" s="98"/>
      <c r="E154" s="98">
        <v>6556.5</v>
      </c>
      <c r="F154" s="98"/>
      <c r="G154" s="98"/>
      <c r="I154" t="str">
        <f>VLOOKUP(A154,bnc_Map!A:C,3,FALSE)</f>
        <v>[BnC-2S01] BnC Acc Depreciation - Software</v>
      </c>
      <c r="J154" s="19">
        <v>-466235.5</v>
      </c>
      <c r="L154" s="20"/>
    </row>
    <row r="155" spans="1:12" x14ac:dyDescent="0.45">
      <c r="A155" s="97" t="s">
        <v>305</v>
      </c>
      <c r="B155" s="97" t="s">
        <v>306</v>
      </c>
      <c r="C155" s="97" t="s">
        <v>0</v>
      </c>
      <c r="D155" s="98">
        <v>6274.4</v>
      </c>
      <c r="E155" s="98"/>
      <c r="F155" s="98"/>
      <c r="G155" s="98"/>
      <c r="I155" t="str">
        <f>VLOOKUP(A155,bnc_Map!A:C,3,FALSE)</f>
        <v>[BnC-2S01] BnC Software</v>
      </c>
      <c r="J155" s="19">
        <v>465953.4</v>
      </c>
      <c r="L155" s="20"/>
    </row>
    <row r="156" spans="1:12" x14ac:dyDescent="0.45">
      <c r="A156" s="97" t="s">
        <v>307</v>
      </c>
      <c r="B156" s="97" t="s">
        <v>308</v>
      </c>
      <c r="C156" s="97" t="s">
        <v>0</v>
      </c>
      <c r="D156" s="98"/>
      <c r="E156" s="98">
        <v>6274.4</v>
      </c>
      <c r="F156" s="98"/>
      <c r="G156" s="98"/>
      <c r="I156" t="str">
        <f>VLOOKUP(A156,bnc_Map!A:C,3,FALSE)</f>
        <v>[BnC-2S01] BnC Acc Depreciation - Software</v>
      </c>
      <c r="J156" s="19">
        <v>-465953.4</v>
      </c>
      <c r="L156" s="20"/>
    </row>
    <row r="157" spans="1:12" x14ac:dyDescent="0.45">
      <c r="A157" s="97" t="s">
        <v>309</v>
      </c>
      <c r="B157" s="97" t="s">
        <v>310</v>
      </c>
      <c r="C157" s="97" t="s">
        <v>0</v>
      </c>
      <c r="D157" s="98">
        <v>21947.1</v>
      </c>
      <c r="E157" s="98"/>
      <c r="F157" s="98"/>
      <c r="G157" s="98"/>
      <c r="I157" t="str">
        <f>VLOOKUP(A157,bnc_Map!A:C,3,FALSE)</f>
        <v>[BnC-2S01] BnC Software</v>
      </c>
      <c r="J157" s="19">
        <v>481626.1</v>
      </c>
      <c r="L157" s="20"/>
    </row>
    <row r="158" spans="1:12" x14ac:dyDescent="0.45">
      <c r="A158" s="97" t="s">
        <v>311</v>
      </c>
      <c r="B158" s="97" t="s">
        <v>312</v>
      </c>
      <c r="C158" s="97" t="s">
        <v>0</v>
      </c>
      <c r="D158" s="98"/>
      <c r="E158" s="98">
        <v>11606.88</v>
      </c>
      <c r="F158" s="98"/>
      <c r="G158" s="98">
        <v>7490.17</v>
      </c>
      <c r="I158" t="str">
        <f>VLOOKUP(A158,bnc_Map!A:C,3,FALSE)</f>
        <v>[BnC-2S01] BnC Acc Depreciation - Software</v>
      </c>
      <c r="J158" s="19">
        <v>-471285.88</v>
      </c>
      <c r="L158" s="20"/>
    </row>
    <row r="159" spans="1:12" x14ac:dyDescent="0.45">
      <c r="A159" s="97" t="s">
        <v>313</v>
      </c>
      <c r="B159" s="97" t="s">
        <v>314</v>
      </c>
      <c r="C159" s="97" t="s">
        <v>0</v>
      </c>
      <c r="D159" s="98">
        <v>4194.8</v>
      </c>
      <c r="E159" s="98"/>
      <c r="F159" s="98"/>
      <c r="G159" s="98"/>
      <c r="I159" t="str">
        <f>VLOOKUP(A159,bnc_Map!A:C,3,FALSE)</f>
        <v>[BnC-2S01] BnC Software</v>
      </c>
      <c r="J159" s="19">
        <v>463873.8</v>
      </c>
      <c r="L159" s="20"/>
    </row>
    <row r="160" spans="1:12" x14ac:dyDescent="0.45">
      <c r="A160" s="97" t="s">
        <v>315</v>
      </c>
      <c r="B160" s="97" t="s">
        <v>316</v>
      </c>
      <c r="C160" s="97" t="s">
        <v>0</v>
      </c>
      <c r="D160" s="98"/>
      <c r="E160" s="98">
        <v>349.56</v>
      </c>
      <c r="F160" s="98"/>
      <c r="G160" s="98">
        <v>174.78</v>
      </c>
      <c r="I160" t="str">
        <f>VLOOKUP(A160,bnc_Map!A:C,3,FALSE)</f>
        <v>[BnC-2S01] BnC Acc Depreciation - Software</v>
      </c>
      <c r="J160" s="19">
        <v>-460028.56</v>
      </c>
      <c r="L160" s="20"/>
    </row>
    <row r="161" spans="1:12" x14ac:dyDescent="0.45">
      <c r="A161" s="97" t="s">
        <v>317</v>
      </c>
      <c r="B161" s="97" t="s">
        <v>318</v>
      </c>
      <c r="C161" s="97" t="s">
        <v>0</v>
      </c>
      <c r="D161" s="98">
        <v>18454.330000000002</v>
      </c>
      <c r="E161" s="98"/>
      <c r="F161" s="98"/>
      <c r="G161" s="98"/>
      <c r="I161" t="str">
        <f>VLOOKUP(A161,bnc_Map!A:C,3,FALSE)</f>
        <v>[BnC-2T01] BnC Telephone And Cabling</v>
      </c>
      <c r="J161" s="19">
        <v>478133.33</v>
      </c>
      <c r="L161" s="20"/>
    </row>
    <row r="162" spans="1:12" x14ac:dyDescent="0.45">
      <c r="A162" s="97" t="s">
        <v>319</v>
      </c>
      <c r="B162" s="97" t="s">
        <v>320</v>
      </c>
      <c r="C162" s="97" t="s">
        <v>0</v>
      </c>
      <c r="D162" s="98"/>
      <c r="E162" s="98">
        <v>18454.330000000002</v>
      </c>
      <c r="F162" s="98"/>
      <c r="G162" s="98"/>
      <c r="I162" t="str">
        <f>VLOOKUP(A162,bnc_Map!A:C,3,FALSE)</f>
        <v>[BnC-2T01] BnC Acc Depreciation - Telphone and Cabling</v>
      </c>
      <c r="J162" s="19">
        <v>-478133.33</v>
      </c>
      <c r="L162" s="20"/>
    </row>
    <row r="163" spans="1:12" x14ac:dyDescent="0.45">
      <c r="A163" s="97" t="s">
        <v>321</v>
      </c>
      <c r="B163" s="97" t="s">
        <v>322</v>
      </c>
      <c r="C163" s="97" t="s">
        <v>0</v>
      </c>
      <c r="D163" s="98">
        <v>144361.29999999999</v>
      </c>
      <c r="E163" s="98"/>
      <c r="F163" s="98">
        <v>57033.55</v>
      </c>
      <c r="G163" s="98"/>
      <c r="I163" t="str">
        <f>VLOOKUP(A163,bnc_Map!A:C,3,FALSE)</f>
        <v>[BnC-3000] BnC Trade Debtors</v>
      </c>
      <c r="J163" s="19">
        <v>604040.30000000005</v>
      </c>
      <c r="L163" s="20"/>
    </row>
    <row r="164" spans="1:12" x14ac:dyDescent="0.45">
      <c r="A164" s="97" t="s">
        <v>323</v>
      </c>
      <c r="B164" s="97" t="s">
        <v>324</v>
      </c>
      <c r="C164" s="97" t="s">
        <v>0</v>
      </c>
      <c r="D164" s="98">
        <v>1000</v>
      </c>
      <c r="E164" s="98"/>
      <c r="F164" s="98">
        <v>1874.11</v>
      </c>
      <c r="G164" s="98"/>
      <c r="I164" t="str">
        <f>VLOOKUP(A164,bnc_Map!A:C,3,FALSE)</f>
        <v>[BnC-3010] BnC Petty Cash</v>
      </c>
      <c r="J164" s="19">
        <v>-458679</v>
      </c>
      <c r="L164" s="20"/>
    </row>
    <row r="165" spans="1:12" x14ac:dyDescent="0.45">
      <c r="A165" s="97" t="s">
        <v>325</v>
      </c>
      <c r="B165" s="97" t="s">
        <v>326</v>
      </c>
      <c r="C165" s="97" t="s">
        <v>0</v>
      </c>
      <c r="D165" s="98">
        <v>1500</v>
      </c>
      <c r="E165" s="98"/>
      <c r="F165" s="98">
        <v>1351.1</v>
      </c>
      <c r="G165" s="98"/>
      <c r="I165" t="str">
        <f>VLOOKUP(A165,bnc_Map!A:C,3,FALSE)</f>
        <v>[BnC-3010] BnC Petty Cash</v>
      </c>
      <c r="J165" s="19">
        <v>461179</v>
      </c>
      <c r="L165" s="20"/>
    </row>
    <row r="166" spans="1:12" x14ac:dyDescent="0.45">
      <c r="A166" s="97" t="s">
        <v>327</v>
      </c>
      <c r="B166" s="97" t="s">
        <v>328</v>
      </c>
      <c r="C166" s="97" t="s">
        <v>0</v>
      </c>
      <c r="D166" s="98">
        <v>500</v>
      </c>
      <c r="E166" s="98"/>
      <c r="F166" s="98"/>
      <c r="G166" s="98"/>
      <c r="I166" t="str">
        <f>VLOOKUP(A166,bnc_Map!A:C,3,FALSE)</f>
        <v>[BnC-3010] BnC Petty Cash</v>
      </c>
      <c r="J166" s="19">
        <v>-459179</v>
      </c>
      <c r="L166" s="20"/>
    </row>
    <row r="167" spans="1:12" x14ac:dyDescent="0.45">
      <c r="A167" s="97" t="s">
        <v>329</v>
      </c>
      <c r="B167" s="97" t="s">
        <v>330</v>
      </c>
      <c r="C167" s="97" t="s">
        <v>0</v>
      </c>
      <c r="D167" s="98">
        <v>1500</v>
      </c>
      <c r="E167" s="98"/>
      <c r="F167" s="98">
        <v>953.8</v>
      </c>
      <c r="G167" s="98"/>
      <c r="I167" t="str">
        <f>VLOOKUP(A167,bnc_Map!A:C,3,FALSE)</f>
        <v>[BnC-3010] BnC Petty Cash</v>
      </c>
      <c r="J167" s="19">
        <v>461179</v>
      </c>
      <c r="L167" s="20"/>
    </row>
    <row r="168" spans="1:12" x14ac:dyDescent="0.45">
      <c r="A168" s="97" t="s">
        <v>331</v>
      </c>
      <c r="B168" s="97" t="s">
        <v>332</v>
      </c>
      <c r="C168" s="97" t="s">
        <v>0</v>
      </c>
      <c r="D168" s="98"/>
      <c r="E168" s="98"/>
      <c r="F168" s="98">
        <v>21.3</v>
      </c>
      <c r="G168" s="98"/>
      <c r="I168" t="str">
        <f>VLOOKUP(A168,bnc_Map!A:C,3,FALSE)</f>
        <v>[BnC-3010] BnC Petty Cash</v>
      </c>
      <c r="J168" s="19">
        <v>-459679</v>
      </c>
      <c r="L168" s="20"/>
    </row>
    <row r="169" spans="1:12" x14ac:dyDescent="0.45">
      <c r="A169" s="97" t="s">
        <v>333</v>
      </c>
      <c r="B169" s="97" t="s">
        <v>334</v>
      </c>
      <c r="C169" s="97" t="s">
        <v>0</v>
      </c>
      <c r="D169" s="98">
        <v>1000</v>
      </c>
      <c r="E169" s="98"/>
      <c r="F169" s="98">
        <v>263.2</v>
      </c>
      <c r="G169" s="98"/>
      <c r="I169" t="str">
        <f>VLOOKUP(A169,bnc_Map!A:C,3,FALSE)</f>
        <v>[BnC-3010] BnC Petty Cash</v>
      </c>
      <c r="J169" s="19">
        <v>460679</v>
      </c>
      <c r="L169" s="20"/>
    </row>
    <row r="170" spans="1:12" x14ac:dyDescent="0.45">
      <c r="A170" s="97" t="s">
        <v>335</v>
      </c>
      <c r="B170" s="97" t="s">
        <v>336</v>
      </c>
      <c r="C170" s="97" t="s">
        <v>0</v>
      </c>
      <c r="D170" s="98"/>
      <c r="E170" s="98"/>
      <c r="F170" s="98"/>
      <c r="G170" s="98">
        <v>500</v>
      </c>
      <c r="I170" t="str">
        <f>VLOOKUP(A170,bnc_Map!A:C,3,FALSE)</f>
        <v>[BnC-3010] BnC Petty Cash</v>
      </c>
      <c r="J170" s="19">
        <v>-459679</v>
      </c>
      <c r="L170" s="20"/>
    </row>
    <row r="171" spans="1:12" x14ac:dyDescent="0.45">
      <c r="A171" s="97" t="s">
        <v>337</v>
      </c>
      <c r="B171" s="97" t="s">
        <v>338</v>
      </c>
      <c r="C171" s="97" t="s">
        <v>0</v>
      </c>
      <c r="D171" s="98">
        <v>4000</v>
      </c>
      <c r="E171" s="98"/>
      <c r="F171" s="98">
        <v>561.85</v>
      </c>
      <c r="G171" s="98"/>
      <c r="I171" t="str">
        <f>VLOOKUP(A171,bnc_Map!A:C,3,FALSE)</f>
        <v>[BnC-3010] BnC Petty Cash</v>
      </c>
      <c r="J171" s="19">
        <v>463679</v>
      </c>
      <c r="L171" s="20"/>
    </row>
    <row r="172" spans="1:12" x14ac:dyDescent="0.45">
      <c r="A172" s="97" t="s">
        <v>339</v>
      </c>
      <c r="B172" s="97" t="s">
        <v>340</v>
      </c>
      <c r="C172" s="97" t="s">
        <v>0</v>
      </c>
      <c r="D172" s="98">
        <v>5200</v>
      </c>
      <c r="E172" s="98"/>
      <c r="F172" s="98">
        <v>832.4</v>
      </c>
      <c r="G172" s="98"/>
      <c r="I172" t="str">
        <f>VLOOKUP(A172,bnc_Map!A:C,3,FALSE)</f>
        <v>[BnC-3010] BnC Petty Cash</v>
      </c>
      <c r="J172" s="19">
        <v>-454479</v>
      </c>
      <c r="L172" s="20"/>
    </row>
    <row r="173" spans="1:12" x14ac:dyDescent="0.45">
      <c r="A173" s="97" t="s">
        <v>341</v>
      </c>
      <c r="B173" s="97" t="s">
        <v>342</v>
      </c>
      <c r="C173" s="97" t="s">
        <v>0</v>
      </c>
      <c r="D173" s="98">
        <v>4500</v>
      </c>
      <c r="E173" s="98"/>
      <c r="F173" s="98">
        <v>3253.28</v>
      </c>
      <c r="G173" s="98"/>
      <c r="I173" t="str">
        <f>VLOOKUP(A173,bnc_Map!A:C,3,FALSE)</f>
        <v>[BnC-3010] BnC Petty Cash</v>
      </c>
      <c r="J173" s="19">
        <v>464179</v>
      </c>
      <c r="L173" s="20"/>
    </row>
    <row r="174" spans="1:12" x14ac:dyDescent="0.45">
      <c r="A174" s="97" t="s">
        <v>343</v>
      </c>
      <c r="B174" s="97" t="s">
        <v>344</v>
      </c>
      <c r="C174" s="97" t="s">
        <v>0</v>
      </c>
      <c r="D174" s="98">
        <v>9500</v>
      </c>
      <c r="E174" s="98"/>
      <c r="F174" s="98"/>
      <c r="G174" s="98"/>
      <c r="I174" t="str">
        <f>VLOOKUP(A174,bnc_Map!A:C,3,FALSE)</f>
        <v>[BnC-3010] BnC Petty Cash</v>
      </c>
      <c r="J174" s="19">
        <v>-450179</v>
      </c>
      <c r="L174" s="20"/>
    </row>
    <row r="175" spans="1:12" x14ac:dyDescent="0.45">
      <c r="A175" s="97" t="s">
        <v>345</v>
      </c>
      <c r="B175" s="97" t="s">
        <v>346</v>
      </c>
      <c r="C175" s="97" t="s">
        <v>0</v>
      </c>
      <c r="D175" s="98">
        <v>1000</v>
      </c>
      <c r="E175" s="98"/>
      <c r="F175" s="98">
        <v>620.15</v>
      </c>
      <c r="G175" s="98"/>
      <c r="I175" t="str">
        <f>VLOOKUP(A175,bnc_Map!A:C,3,FALSE)</f>
        <v>[BnC-3010] BnC Petty Cash</v>
      </c>
      <c r="J175" s="19">
        <v>460679</v>
      </c>
      <c r="L175" s="20"/>
    </row>
    <row r="176" spans="1:12" x14ac:dyDescent="0.45">
      <c r="A176" s="97" t="s">
        <v>347</v>
      </c>
      <c r="B176" s="97" t="s">
        <v>348</v>
      </c>
      <c r="C176" s="97" t="s">
        <v>0</v>
      </c>
      <c r="D176" s="98">
        <v>1000</v>
      </c>
      <c r="E176" s="98"/>
      <c r="F176" s="98">
        <v>616.14</v>
      </c>
      <c r="G176" s="98"/>
      <c r="I176" t="str">
        <f>VLOOKUP(A176,bnc_Map!A:C,3,FALSE)</f>
        <v>[BnC-3010] BnC Petty Cash</v>
      </c>
      <c r="J176" s="19">
        <v>-458679</v>
      </c>
      <c r="L176" s="20"/>
    </row>
    <row r="177" spans="1:12" x14ac:dyDescent="0.45">
      <c r="A177" s="97" t="s">
        <v>349</v>
      </c>
      <c r="B177" s="97" t="s">
        <v>350</v>
      </c>
      <c r="C177" s="97" t="s">
        <v>0</v>
      </c>
      <c r="D177" s="98">
        <v>1000</v>
      </c>
      <c r="E177" s="98"/>
      <c r="F177" s="98">
        <v>420.17</v>
      </c>
      <c r="G177" s="98"/>
      <c r="I177" t="str">
        <f>VLOOKUP(A177,bnc_Map!A:C,3,FALSE)</f>
        <v>[BnC-3010] BnC Petty Cash</v>
      </c>
      <c r="J177" s="19">
        <v>460679</v>
      </c>
      <c r="L177" s="20"/>
    </row>
    <row r="178" spans="1:12" x14ac:dyDescent="0.45">
      <c r="A178" s="97" t="s">
        <v>351</v>
      </c>
      <c r="B178" s="97" t="s">
        <v>352</v>
      </c>
      <c r="C178" s="97" t="s">
        <v>0</v>
      </c>
      <c r="D178" s="98">
        <v>4500</v>
      </c>
      <c r="E178" s="98"/>
      <c r="F178" s="98">
        <v>964.12</v>
      </c>
      <c r="G178" s="98"/>
      <c r="I178" t="str">
        <f>VLOOKUP(A178,bnc_Map!A:C,3,FALSE)</f>
        <v>[BnC-3010] BnC Petty Cash</v>
      </c>
      <c r="J178" s="19">
        <v>-455179</v>
      </c>
      <c r="L178" s="20"/>
    </row>
    <row r="179" spans="1:12" x14ac:dyDescent="0.45">
      <c r="A179" s="97" t="s">
        <v>353</v>
      </c>
      <c r="B179" s="97" t="s">
        <v>354</v>
      </c>
      <c r="C179" s="97" t="s">
        <v>0</v>
      </c>
      <c r="D179" s="98">
        <v>4400</v>
      </c>
      <c r="E179" s="98"/>
      <c r="F179" s="98"/>
      <c r="G179" s="98"/>
      <c r="I179" t="str">
        <f>VLOOKUP(A179,bnc_Map!A:C,3,FALSE)</f>
        <v>[BnC-3010] BnC Spare Cash Float</v>
      </c>
      <c r="J179" s="19">
        <v>464079</v>
      </c>
      <c r="L179" s="20"/>
    </row>
    <row r="180" spans="1:12" x14ac:dyDescent="0.45">
      <c r="A180" s="97" t="s">
        <v>355</v>
      </c>
      <c r="B180" s="97" t="s">
        <v>356</v>
      </c>
      <c r="C180" s="97" t="s">
        <v>0</v>
      </c>
      <c r="D180" s="98">
        <v>2400</v>
      </c>
      <c r="E180" s="98"/>
      <c r="F180" s="98"/>
      <c r="G180" s="98"/>
      <c r="I180" t="str">
        <f>VLOOKUP(A180,bnc_Map!A:C,3,FALSE)</f>
        <v>[BnC-3010] BnC Cash In POS</v>
      </c>
      <c r="J180" s="19">
        <v>-457279</v>
      </c>
      <c r="L180" s="20"/>
    </row>
    <row r="181" spans="1:12" x14ac:dyDescent="0.45">
      <c r="A181" s="97" t="s">
        <v>357</v>
      </c>
      <c r="B181" s="97" t="s">
        <v>358</v>
      </c>
      <c r="C181" s="97" t="s">
        <v>0</v>
      </c>
      <c r="D181" s="98">
        <v>696528.89</v>
      </c>
      <c r="E181" s="98"/>
      <c r="F181" s="98"/>
      <c r="G181" s="98">
        <v>106373.43</v>
      </c>
      <c r="I181" t="str">
        <f>VLOOKUP(A181,bnc_Map!A:C,3,FALSE)</f>
        <v>[BnC-3010] BnC OCBC - SGD 641-102686-001</v>
      </c>
      <c r="J181" s="19">
        <v>1156207.8900000001</v>
      </c>
      <c r="L181" s="20"/>
    </row>
    <row r="182" spans="1:12" x14ac:dyDescent="0.45">
      <c r="A182" s="97" t="s">
        <v>359</v>
      </c>
      <c r="B182" s="97" t="s">
        <v>360</v>
      </c>
      <c r="C182" s="97" t="s">
        <v>0</v>
      </c>
      <c r="D182" s="98">
        <v>361168.87</v>
      </c>
      <c r="E182" s="98"/>
      <c r="F182" s="98">
        <v>28562.43</v>
      </c>
      <c r="G182" s="98"/>
      <c r="I182" t="str">
        <f>VLOOKUP(A182,bnc_Map!A:C,3,FALSE)</f>
        <v>[BnC-3010] BnC SCB - SGD 0102 7994 23</v>
      </c>
      <c r="J182" s="19">
        <v>-98510.13</v>
      </c>
      <c r="L182" s="20"/>
    </row>
    <row r="183" spans="1:12" x14ac:dyDescent="0.45">
      <c r="A183" s="97" t="s">
        <v>361</v>
      </c>
      <c r="B183" s="97" t="s">
        <v>362</v>
      </c>
      <c r="C183" s="97" t="s">
        <v>0</v>
      </c>
      <c r="D183" s="98">
        <v>34543.1</v>
      </c>
      <c r="E183" s="98"/>
      <c r="F183" s="98"/>
      <c r="G183" s="98">
        <v>4127.59</v>
      </c>
      <c r="I183" t="str">
        <f>VLOOKUP(A183,bnc_Map!A:C,3,FALSE)</f>
        <v>[BnC-3010] BnC DBS - SGD 0720280067</v>
      </c>
      <c r="J183" s="19">
        <v>494222.1</v>
      </c>
      <c r="L183" s="20"/>
    </row>
    <row r="184" spans="1:12" x14ac:dyDescent="0.45">
      <c r="A184" s="97" t="s">
        <v>363</v>
      </c>
      <c r="B184" s="97" t="s">
        <v>364</v>
      </c>
      <c r="C184" s="97" t="s">
        <v>0</v>
      </c>
      <c r="D184" s="98">
        <v>2421144.11</v>
      </c>
      <c r="E184" s="98"/>
      <c r="F184" s="98">
        <v>197543.06</v>
      </c>
      <c r="G184" s="98"/>
      <c r="I184" t="str">
        <f>VLOOKUP(A184,bnc_Map!A:C,3,FALSE)</f>
        <v>[BnC-3010] BnC Ocbc - SGD 687239491001</v>
      </c>
      <c r="J184" s="19">
        <v>1961465.1099999999</v>
      </c>
      <c r="L184" s="20"/>
    </row>
    <row r="185" spans="1:12" x14ac:dyDescent="0.45">
      <c r="A185" s="97" t="s">
        <v>365</v>
      </c>
      <c r="B185" s="97" t="s">
        <v>366</v>
      </c>
      <c r="C185" s="97" t="s">
        <v>0</v>
      </c>
      <c r="D185" s="98">
        <v>222158.23</v>
      </c>
      <c r="E185" s="98"/>
      <c r="F185" s="98">
        <v>29873.62</v>
      </c>
      <c r="G185" s="98"/>
      <c r="I185" t="str">
        <f>VLOOKUP(A185,bnc_Map!A:C,3,FALSE)</f>
        <v>[BnC-3010] BnC Paypal Account</v>
      </c>
      <c r="J185" s="19">
        <v>681837.23</v>
      </c>
      <c r="L185" s="20"/>
    </row>
    <row r="186" spans="1:12" x14ac:dyDescent="0.45">
      <c r="A186" s="97" t="s">
        <v>367</v>
      </c>
      <c r="B186" s="97" t="s">
        <v>368</v>
      </c>
      <c r="C186" s="97" t="s">
        <v>0</v>
      </c>
      <c r="D186" s="98">
        <v>72375.08</v>
      </c>
      <c r="E186" s="98"/>
      <c r="F186" s="98">
        <v>35536.53</v>
      </c>
      <c r="G186" s="98"/>
      <c r="I186" t="str">
        <f>VLOOKUP(A186,bnc_Map!A:C,3,FALSE)</f>
        <v>[BnC-3010] BnC Paypal Account</v>
      </c>
      <c r="J186" s="19">
        <v>-387303.92</v>
      </c>
      <c r="L186" s="20"/>
    </row>
    <row r="187" spans="1:12" x14ac:dyDescent="0.45">
      <c r="A187" s="97" t="s">
        <v>369</v>
      </c>
      <c r="B187" s="97" t="s">
        <v>370</v>
      </c>
      <c r="C187" s="97" t="s">
        <v>0</v>
      </c>
      <c r="D187" s="98">
        <v>453319.21</v>
      </c>
      <c r="E187" s="98"/>
      <c r="F187" s="98">
        <v>271411.98</v>
      </c>
      <c r="G187" s="98"/>
      <c r="I187" t="str">
        <f>VLOOKUP(A187,bnc_Map!A:C,3,FALSE)</f>
        <v>[BnC-3010] BnC UOB - SGD 3493328601</v>
      </c>
      <c r="J187" s="19">
        <v>912998.21</v>
      </c>
      <c r="L187" s="20"/>
    </row>
    <row r="188" spans="1:12" x14ac:dyDescent="0.45">
      <c r="A188" s="97" t="s">
        <v>371</v>
      </c>
      <c r="B188" s="97" t="s">
        <v>372</v>
      </c>
      <c r="C188" s="97" t="s">
        <v>0</v>
      </c>
      <c r="D188" s="98">
        <v>13485.2</v>
      </c>
      <c r="E188" s="98"/>
      <c r="F188" s="98"/>
      <c r="G188" s="98">
        <v>2801</v>
      </c>
      <c r="I188" t="str">
        <f>VLOOKUP(A188,bnc_Map!A:C,3,FALSE)</f>
        <v>[BnC-3020] BnC Deposit</v>
      </c>
      <c r="J188" s="19">
        <v>-446193.8</v>
      </c>
      <c r="L188" s="20"/>
    </row>
    <row r="189" spans="1:12" x14ac:dyDescent="0.45">
      <c r="A189" s="97" t="s">
        <v>373</v>
      </c>
      <c r="B189" s="97" t="s">
        <v>374</v>
      </c>
      <c r="C189" s="97" t="s">
        <v>0</v>
      </c>
      <c r="D189" s="98">
        <v>130616.21</v>
      </c>
      <c r="E189" s="98"/>
      <c r="F189" s="98"/>
      <c r="G189" s="98">
        <v>43577.85</v>
      </c>
      <c r="I189" t="str">
        <f>VLOOKUP(A189,bnc_Map!A:C,3,FALSE)</f>
        <v>[BnC-3020] BnC Prepayment</v>
      </c>
      <c r="J189" s="19">
        <v>590295.21</v>
      </c>
      <c r="L189" s="20"/>
    </row>
    <row r="190" spans="1:12" x14ac:dyDescent="0.45">
      <c r="A190" s="97" t="s">
        <v>375</v>
      </c>
      <c r="B190" s="97" t="s">
        <v>376</v>
      </c>
      <c r="C190" s="97" t="s">
        <v>0</v>
      </c>
      <c r="D190" s="98"/>
      <c r="E190" s="98"/>
      <c r="F190" s="98"/>
      <c r="G190" s="98">
        <v>1918.64</v>
      </c>
      <c r="I190" t="str">
        <f>VLOOKUP(A190,bnc_Map!A:C,3,FALSE)</f>
        <v>[BnC-3020] BnC Amount Owing By B&amp;C Msia</v>
      </c>
      <c r="J190" s="19">
        <v>-459679</v>
      </c>
      <c r="L190" s="20"/>
    </row>
    <row r="191" spans="1:12" x14ac:dyDescent="0.45">
      <c r="A191" s="97" t="s">
        <v>377</v>
      </c>
      <c r="B191" s="97" t="s">
        <v>378</v>
      </c>
      <c r="C191" s="97" t="s">
        <v>0</v>
      </c>
      <c r="D191" s="98"/>
      <c r="E191" s="98"/>
      <c r="F191" s="98">
        <v>1050</v>
      </c>
      <c r="G191" s="98"/>
      <c r="I191" t="str">
        <f>VLOOKUP(A191,bnc_Map!A:C,3,FALSE)</f>
        <v>[BnC-3020] BnC Deposit</v>
      </c>
      <c r="J191" s="19">
        <v>459679</v>
      </c>
      <c r="L191" s="20"/>
    </row>
    <row r="192" spans="1:12" x14ac:dyDescent="0.45">
      <c r="A192" s="97" t="s">
        <v>379</v>
      </c>
      <c r="B192" s="97" t="s">
        <v>380</v>
      </c>
      <c r="C192" s="97" t="s">
        <v>0</v>
      </c>
      <c r="D192" s="98">
        <v>543985.85</v>
      </c>
      <c r="E192" s="98"/>
      <c r="F192" s="98"/>
      <c r="G192" s="98"/>
      <c r="I192" t="str">
        <f>VLOOKUP(A192,bnc_Map!A:C,3,FALSE)</f>
        <v>[BnC-3020] BnC Deposit</v>
      </c>
      <c r="J192" s="19">
        <v>84306.849999999977</v>
      </c>
      <c r="L192" s="20"/>
    </row>
    <row r="193" spans="1:12" x14ac:dyDescent="0.45">
      <c r="A193" s="97" t="s">
        <v>381</v>
      </c>
      <c r="B193" s="97" t="s">
        <v>382</v>
      </c>
      <c r="C193" s="97" t="s">
        <v>0</v>
      </c>
      <c r="D193" s="98">
        <v>3000</v>
      </c>
      <c r="E193" s="98"/>
      <c r="F193" s="98"/>
      <c r="G193" s="98"/>
      <c r="I193" t="str">
        <f>VLOOKUP(A193,bnc_Map!A:C,3,FALSE)</f>
        <v>[BnC-3020] BnC Deposit</v>
      </c>
      <c r="J193" s="19">
        <v>462679</v>
      </c>
      <c r="L193" s="20"/>
    </row>
    <row r="194" spans="1:12" x14ac:dyDescent="0.45">
      <c r="A194" s="97" t="s">
        <v>383</v>
      </c>
      <c r="B194" s="97" t="s">
        <v>384</v>
      </c>
      <c r="C194" s="97" t="s">
        <v>0</v>
      </c>
      <c r="D194" s="98">
        <v>26100</v>
      </c>
      <c r="E194" s="98"/>
      <c r="F194" s="98">
        <v>6750</v>
      </c>
      <c r="G194" s="98"/>
      <c r="I194" t="str">
        <f>VLOOKUP(A194,bnc_Map!A:C,3,FALSE)</f>
        <v>[BnC-3020] BnC Deposit</v>
      </c>
      <c r="J194" s="19">
        <v>-433579</v>
      </c>
      <c r="L194" s="20"/>
    </row>
    <row r="195" spans="1:12" x14ac:dyDescent="0.45">
      <c r="A195" s="97" t="s">
        <v>385</v>
      </c>
      <c r="B195" s="97" t="s">
        <v>386</v>
      </c>
      <c r="C195" s="97" t="s">
        <v>0</v>
      </c>
      <c r="D195" s="98">
        <v>111092.02</v>
      </c>
      <c r="E195" s="98"/>
      <c r="F195" s="98"/>
      <c r="G195" s="98">
        <v>37030.68</v>
      </c>
      <c r="I195" t="str">
        <f>VLOOKUP(A195,bnc_Map!A:C,3,FALSE)</f>
        <v>[BnC-3031] BnC Right Of Use</v>
      </c>
      <c r="J195" s="19">
        <v>570771.02</v>
      </c>
      <c r="L195" s="20"/>
    </row>
    <row r="196" spans="1:12" x14ac:dyDescent="0.45">
      <c r="A196" s="97" t="s">
        <v>387</v>
      </c>
      <c r="B196" s="97" t="s">
        <v>388</v>
      </c>
      <c r="C196" s="97" t="s">
        <v>0</v>
      </c>
      <c r="D196" s="98">
        <v>209714.25</v>
      </c>
      <c r="E196" s="98"/>
      <c r="F196" s="98"/>
      <c r="G196" s="98">
        <v>104857.13</v>
      </c>
      <c r="I196" t="str">
        <f>VLOOKUP(A196,bnc_Map!A:C,3,FALSE)</f>
        <v>[BnC-3031] BnC Right Of Use</v>
      </c>
      <c r="J196" s="19">
        <v>-249964.75</v>
      </c>
      <c r="L196" s="20"/>
    </row>
    <row r="197" spans="1:12" x14ac:dyDescent="0.45">
      <c r="A197" s="97" t="s">
        <v>389</v>
      </c>
      <c r="B197" s="97" t="s">
        <v>390</v>
      </c>
      <c r="C197" s="97" t="s">
        <v>0</v>
      </c>
      <c r="D197" s="98">
        <v>85959.16</v>
      </c>
      <c r="E197" s="98"/>
      <c r="F197" s="98">
        <v>78489.789999999994</v>
      </c>
      <c r="G197" s="98"/>
      <c r="I197" t="str">
        <f>VLOOKUP(A197,bnc_Map!A:C,3,FALSE)</f>
        <v>[BnC-3031] BnC Right Of Use</v>
      </c>
      <c r="J197" s="19">
        <v>545638.16</v>
      </c>
      <c r="L197" s="20"/>
    </row>
    <row r="198" spans="1:12" x14ac:dyDescent="0.45">
      <c r="A198" s="97" t="s">
        <v>391</v>
      </c>
      <c r="B198" s="97" t="s">
        <v>392</v>
      </c>
      <c r="C198" s="97" t="s">
        <v>0</v>
      </c>
      <c r="D198" s="98">
        <v>251285.62</v>
      </c>
      <c r="E198" s="98"/>
      <c r="F198" s="98"/>
      <c r="G198" s="98">
        <v>251285.62</v>
      </c>
      <c r="I198" t="str">
        <f>VLOOKUP(A198,bnc_Map!A:C,3,FALSE)</f>
        <v>[BnC-3031] BnC Right Of Use</v>
      </c>
      <c r="J198" s="19">
        <v>-208393.38</v>
      </c>
      <c r="L198" s="20"/>
    </row>
    <row r="199" spans="1:12" x14ac:dyDescent="0.45">
      <c r="A199" s="97" t="s">
        <v>393</v>
      </c>
      <c r="B199" s="97" t="s">
        <v>394</v>
      </c>
      <c r="C199" s="97" t="s">
        <v>0</v>
      </c>
      <c r="D199" s="98">
        <v>177633.39</v>
      </c>
      <c r="E199" s="98"/>
      <c r="F199" s="98">
        <v>137349.93</v>
      </c>
      <c r="G199" s="98"/>
      <c r="I199" t="str">
        <f>VLOOKUP(A199,bnc_Map!A:C,3,FALSE)</f>
        <v>[BnC-3031] BnC Right Of Use</v>
      </c>
      <c r="J199" s="19">
        <v>637312.39</v>
      </c>
      <c r="L199" s="20"/>
    </row>
    <row r="200" spans="1:12" x14ac:dyDescent="0.45">
      <c r="A200" s="97" t="s">
        <v>395</v>
      </c>
      <c r="B200" s="97" t="s">
        <v>396</v>
      </c>
      <c r="C200" s="97" t="s">
        <v>0</v>
      </c>
      <c r="D200" s="98">
        <v>335794.34</v>
      </c>
      <c r="E200" s="98"/>
      <c r="F200" s="98"/>
      <c r="G200" s="98">
        <v>111931.45</v>
      </c>
      <c r="I200" t="str">
        <f>VLOOKUP(A200,bnc_Map!A:C,3,FALSE)</f>
        <v>[BnC-3031] BnC Right Of Use</v>
      </c>
      <c r="J200" s="19">
        <v>-123884.65999999997</v>
      </c>
      <c r="L200" s="20"/>
    </row>
    <row r="201" spans="1:12" x14ac:dyDescent="0.45">
      <c r="A201" s="97" t="s">
        <v>397</v>
      </c>
      <c r="B201" s="97" t="s">
        <v>398</v>
      </c>
      <c r="C201" s="97" t="s">
        <v>0</v>
      </c>
      <c r="D201" s="98">
        <v>131386.46</v>
      </c>
      <c r="E201" s="98"/>
      <c r="F201" s="98"/>
      <c r="G201" s="98">
        <v>43795.49</v>
      </c>
      <c r="I201" t="str">
        <f>VLOOKUP(A201,bnc_Map!A:C,3,FALSE)</f>
        <v>[BnC-3031] BnC Right Of Use</v>
      </c>
      <c r="J201" s="19">
        <v>591065.46</v>
      </c>
      <c r="L201" s="20"/>
    </row>
    <row r="202" spans="1:12" x14ac:dyDescent="0.45">
      <c r="A202" s="97" t="s">
        <v>399</v>
      </c>
      <c r="B202" s="97" t="s">
        <v>400</v>
      </c>
      <c r="C202" s="97" t="s">
        <v>0</v>
      </c>
      <c r="D202" s="98">
        <v>186324.05</v>
      </c>
      <c r="E202" s="98"/>
      <c r="F202" s="98"/>
      <c r="G202" s="98">
        <v>93162.03</v>
      </c>
      <c r="I202" t="str">
        <f>VLOOKUP(A202,bnc_Map!A:C,3,FALSE)</f>
        <v>[BnC-3031] BnC Right Of Use</v>
      </c>
      <c r="J202" s="19">
        <v>-273354.95</v>
      </c>
      <c r="L202" s="20"/>
    </row>
    <row r="203" spans="1:12" x14ac:dyDescent="0.45">
      <c r="A203" s="97" t="s">
        <v>401</v>
      </c>
      <c r="B203" s="97" t="s">
        <v>402</v>
      </c>
      <c r="C203" s="97" t="s">
        <v>0</v>
      </c>
      <c r="D203" s="98">
        <v>79340.509999999995</v>
      </c>
      <c r="E203" s="98"/>
      <c r="F203" s="98"/>
      <c r="G203" s="98">
        <v>26446.84</v>
      </c>
      <c r="I203" t="str">
        <f>VLOOKUP(A203,bnc_Map!A:C,3,FALSE)</f>
        <v>[BnC-3031] BnC Right Of Use</v>
      </c>
      <c r="J203" s="19">
        <v>539019.51</v>
      </c>
      <c r="L203" s="20"/>
    </row>
    <row r="204" spans="1:12" x14ac:dyDescent="0.45">
      <c r="A204" s="97" t="s">
        <v>403</v>
      </c>
      <c r="B204" s="97" t="s">
        <v>404</v>
      </c>
      <c r="C204" s="97" t="s">
        <v>0</v>
      </c>
      <c r="D204" s="98">
        <v>441147.28</v>
      </c>
      <c r="E204" s="98"/>
      <c r="F204" s="98"/>
      <c r="G204" s="98">
        <v>147049.1</v>
      </c>
      <c r="I204" t="str">
        <f>VLOOKUP(A204,bnc_Map!A:C,3,FALSE)</f>
        <v>[BnC-3031] BnC Right Of Use</v>
      </c>
      <c r="J204" s="19">
        <v>-18531.719999999972</v>
      </c>
      <c r="L204" s="20"/>
    </row>
    <row r="205" spans="1:12" x14ac:dyDescent="0.45">
      <c r="A205" s="97" t="s">
        <v>405</v>
      </c>
      <c r="B205" s="97" t="s">
        <v>406</v>
      </c>
      <c r="C205" s="97" t="s">
        <v>0</v>
      </c>
      <c r="D205" s="98">
        <v>98760.05</v>
      </c>
      <c r="E205" s="98"/>
      <c r="F205" s="98"/>
      <c r="G205" s="98">
        <v>49380.02</v>
      </c>
      <c r="I205" t="str">
        <f>VLOOKUP(A205,bnc_Map!A:C,3,FALSE)</f>
        <v>[BnC-3031] BnC Right Of Use</v>
      </c>
      <c r="J205" s="19">
        <v>558439.05000000005</v>
      </c>
      <c r="L205" s="20"/>
    </row>
    <row r="206" spans="1:12" x14ac:dyDescent="0.45">
      <c r="A206" s="97" t="s">
        <v>1568</v>
      </c>
      <c r="B206" s="97" t="s">
        <v>1569</v>
      </c>
      <c r="C206" s="97" t="s">
        <v>0</v>
      </c>
      <c r="D206" s="98">
        <v>31402.57</v>
      </c>
      <c r="E206" s="98"/>
      <c r="F206" s="98">
        <v>31402.57</v>
      </c>
      <c r="G206" s="98"/>
      <c r="I206" t="str">
        <f>VLOOKUP(A206,bnc_Map!A:C,3,FALSE)</f>
        <v>[BnC-3031] BnC Right Of Use</v>
      </c>
      <c r="J206" s="19">
        <v>-428276.43</v>
      </c>
      <c r="L206" s="20"/>
    </row>
    <row r="207" spans="1:12" x14ac:dyDescent="0.45">
      <c r="A207" s="97" t="s">
        <v>1570</v>
      </c>
      <c r="B207" s="97" t="s">
        <v>1571</v>
      </c>
      <c r="C207" s="97" t="s">
        <v>0</v>
      </c>
      <c r="D207" s="98">
        <v>592154.98</v>
      </c>
      <c r="E207" s="98"/>
      <c r="F207" s="98">
        <v>592154.98</v>
      </c>
      <c r="G207" s="98"/>
      <c r="I207" t="str">
        <f>VLOOKUP(A207,bnc_Map!A:C,3,FALSE)</f>
        <v>[BnC-3031] BnC Right Of Use</v>
      </c>
      <c r="J207" s="19">
        <v>1051833.98</v>
      </c>
      <c r="L207" s="20"/>
    </row>
    <row r="208" spans="1:12" x14ac:dyDescent="0.45">
      <c r="A208" s="97" t="s">
        <v>1572</v>
      </c>
      <c r="B208" s="97" t="s">
        <v>1573</v>
      </c>
      <c r="C208" s="97" t="s">
        <v>0</v>
      </c>
      <c r="D208" s="98">
        <v>377886.9</v>
      </c>
      <c r="E208" s="98"/>
      <c r="F208" s="98">
        <v>377886.9</v>
      </c>
      <c r="G208" s="98"/>
      <c r="I208" t="str">
        <f>VLOOKUP(A208,bnc_Map!A:C,3,FALSE)</f>
        <v>[BnC-3031] BnC Right Of Use</v>
      </c>
      <c r="J208" s="19">
        <v>-81792.099999999977</v>
      </c>
      <c r="L208" s="20"/>
    </row>
    <row r="209" spans="1:12" x14ac:dyDescent="0.45">
      <c r="A209" s="97" t="s">
        <v>407</v>
      </c>
      <c r="B209" s="97" t="s">
        <v>408</v>
      </c>
      <c r="C209" s="97" t="s">
        <v>0</v>
      </c>
      <c r="D209" s="98">
        <v>92815.5</v>
      </c>
      <c r="E209" s="98"/>
      <c r="F209" s="98">
        <v>79653.56</v>
      </c>
      <c r="G209" s="98"/>
      <c r="I209" t="str">
        <f>VLOOKUP(A209,bnc_Map!A:C,3,FALSE)</f>
        <v>[BnC-3031] BnC Right Of Use</v>
      </c>
      <c r="J209" s="19">
        <v>552494.5</v>
      </c>
      <c r="L209" s="20"/>
    </row>
    <row r="210" spans="1:12" x14ac:dyDescent="0.45">
      <c r="A210" s="97" t="s">
        <v>409</v>
      </c>
      <c r="B210" s="97" t="s">
        <v>410</v>
      </c>
      <c r="C210" s="97" t="s">
        <v>0</v>
      </c>
      <c r="D210" s="98"/>
      <c r="E210" s="98">
        <v>1393.04</v>
      </c>
      <c r="F210" s="98"/>
      <c r="G210" s="98">
        <v>16716.41</v>
      </c>
      <c r="I210" t="str">
        <f>VLOOKUP(A210,bnc_Map!A:C,3,FALSE)</f>
        <v>[BnC-3031] BnC Right Of Use</v>
      </c>
      <c r="J210" s="19">
        <v>-461072.04</v>
      </c>
      <c r="L210" s="20"/>
    </row>
    <row r="211" spans="1:12" s="104" customFormat="1" x14ac:dyDescent="0.45">
      <c r="A211" s="102" t="s">
        <v>411</v>
      </c>
      <c r="B211" s="102" t="s">
        <v>412</v>
      </c>
      <c r="C211" s="102" t="s">
        <v>0</v>
      </c>
      <c r="D211" s="103">
        <v>111992.03</v>
      </c>
      <c r="E211" s="103"/>
      <c r="F211" s="103"/>
      <c r="G211" s="103"/>
      <c r="I211" s="104" t="str">
        <f>VLOOKUP(A211,bnc_Map!A:C,3,FALSE)</f>
        <v>[BnC-3060] BnC Closing Stock</v>
      </c>
      <c r="J211" s="105">
        <v>571671.03</v>
      </c>
      <c r="L211" s="20"/>
    </row>
    <row r="212" spans="1:12" s="159" customFormat="1" x14ac:dyDescent="0.45">
      <c r="A212" s="157" t="s">
        <v>411</v>
      </c>
      <c r="B212" s="157" t="s">
        <v>412</v>
      </c>
      <c r="C212" s="157"/>
      <c r="D212" s="158">
        <v>45073.169999993872</v>
      </c>
      <c r="E212" s="158"/>
      <c r="F212" s="158"/>
      <c r="G212" s="158"/>
      <c r="I212" s="159" t="str">
        <f>VLOOKUP(A212,bnc_Map!A:C,3,FALSE)</f>
        <v>[BnC-3060] BnC Closing Stock</v>
      </c>
      <c r="J212" s="160">
        <v>-414605.83000000613</v>
      </c>
      <c r="L212" s="20"/>
    </row>
    <row r="213" spans="1:12" x14ac:dyDescent="0.45">
      <c r="A213" s="97" t="s">
        <v>413</v>
      </c>
      <c r="B213" s="97" t="s">
        <v>414</v>
      </c>
      <c r="C213" s="97" t="s">
        <v>0</v>
      </c>
      <c r="D213" s="98">
        <v>526.37</v>
      </c>
      <c r="E213" s="98"/>
      <c r="F213" s="98"/>
      <c r="G213" s="98">
        <v>99644.65</v>
      </c>
      <c r="I213" t="str">
        <f>VLOOKUP(A213,bnc_Map!A:C,3,FALSE)</f>
        <v>[BnC-3090] BnC GST Input Tax</v>
      </c>
      <c r="J213" s="19">
        <v>460205.37</v>
      </c>
      <c r="L213" s="20"/>
    </row>
    <row r="214" spans="1:12" x14ac:dyDescent="0.45">
      <c r="A214" s="97" t="s">
        <v>415</v>
      </c>
      <c r="B214" s="97" t="s">
        <v>416</v>
      </c>
      <c r="C214" s="97" t="s">
        <v>0</v>
      </c>
      <c r="D214" s="98"/>
      <c r="E214" s="98">
        <v>615104.66</v>
      </c>
      <c r="F214" s="98"/>
      <c r="G214" s="98">
        <v>22003.45</v>
      </c>
      <c r="I214" t="str">
        <f>VLOOKUP(A214,bnc_Map!A:C,3,FALSE)</f>
        <v>[BnC-4000] BnC Trade Payables</v>
      </c>
      <c r="J214" s="19">
        <v>-1074783.6600000001</v>
      </c>
      <c r="L214" s="20"/>
    </row>
    <row r="215" spans="1:12" x14ac:dyDescent="0.45">
      <c r="A215" s="97" t="s">
        <v>417</v>
      </c>
      <c r="B215" s="97" t="s">
        <v>418</v>
      </c>
      <c r="C215" s="97" t="s">
        <v>0</v>
      </c>
      <c r="D215" s="98"/>
      <c r="E215" s="98">
        <v>400779</v>
      </c>
      <c r="F215" s="98"/>
      <c r="G215" s="98">
        <v>400779</v>
      </c>
      <c r="I215" t="str">
        <f>VLOOKUP(A215,bnc_Map!A:C,3,FALSE)</f>
        <v>[BnC-4010] BnC Accrual</v>
      </c>
      <c r="J215" s="19">
        <v>58900</v>
      </c>
      <c r="L215" s="20"/>
    </row>
    <row r="216" spans="1:12" x14ac:dyDescent="0.45">
      <c r="A216" s="97" t="s">
        <v>419</v>
      </c>
      <c r="B216" s="97" t="s">
        <v>420</v>
      </c>
      <c r="C216" s="97" t="s">
        <v>0</v>
      </c>
      <c r="D216" s="98"/>
      <c r="E216" s="98">
        <v>106416.29</v>
      </c>
      <c r="F216" s="98"/>
      <c r="G216" s="98">
        <v>13384.76</v>
      </c>
      <c r="I216" t="str">
        <f>VLOOKUP(A216,bnc_Map!A:C,3,FALSE)</f>
        <v>[BnC-4010] BnC CPF Payables</v>
      </c>
      <c r="J216" s="19">
        <v>-566095.29</v>
      </c>
      <c r="L216" s="20"/>
    </row>
    <row r="217" spans="1:12" x14ac:dyDescent="0.45">
      <c r="A217" s="97" t="s">
        <v>421</v>
      </c>
      <c r="B217" s="97" t="s">
        <v>422</v>
      </c>
      <c r="C217" s="97" t="s">
        <v>0</v>
      </c>
      <c r="D217" s="98"/>
      <c r="E217" s="98"/>
      <c r="F217" s="98">
        <v>120</v>
      </c>
      <c r="G217" s="98"/>
      <c r="I217" t="str">
        <f>VLOOKUP(A217,bnc_Map!A:C,3,FALSE)</f>
        <v>[BnC-3020] BnC Deposit Received</v>
      </c>
      <c r="J217" s="19">
        <v>459679</v>
      </c>
      <c r="L217" s="20"/>
    </row>
    <row r="218" spans="1:12" x14ac:dyDescent="0.45">
      <c r="A218" s="97" t="s">
        <v>423</v>
      </c>
      <c r="B218" s="97" t="s">
        <v>424</v>
      </c>
      <c r="C218" s="97" t="s">
        <v>0</v>
      </c>
      <c r="D218" s="98"/>
      <c r="E218" s="98">
        <v>68318.69</v>
      </c>
      <c r="F218" s="98">
        <v>87204.27</v>
      </c>
      <c r="G218" s="98"/>
      <c r="I218" t="str">
        <f>VLOOKUP(A218,bnc_Map!A:C,3,FALSE)</f>
        <v>[BnC-4011] BnC Lease Liability</v>
      </c>
      <c r="J218" s="19">
        <v>-527997.68999999994</v>
      </c>
      <c r="L218" s="20"/>
    </row>
    <row r="219" spans="1:12" x14ac:dyDescent="0.45">
      <c r="A219" s="97" t="s">
        <v>425</v>
      </c>
      <c r="B219" s="97" t="s">
        <v>426</v>
      </c>
      <c r="C219" s="97" t="s">
        <v>0</v>
      </c>
      <c r="D219" s="98"/>
      <c r="E219" s="98">
        <v>164855.04000000001</v>
      </c>
      <c r="F219" s="98">
        <v>144464.79</v>
      </c>
      <c r="G219" s="98"/>
      <c r="I219" t="str">
        <f>VLOOKUP(A219,bnc_Map!A:C,3,FALSE)</f>
        <v>[BnC-4011] BnC Lease Liability</v>
      </c>
      <c r="J219" s="19">
        <v>294823.95999999996</v>
      </c>
      <c r="L219" s="20"/>
    </row>
    <row r="220" spans="1:12" x14ac:dyDescent="0.45">
      <c r="A220" s="97" t="s">
        <v>427</v>
      </c>
      <c r="B220" s="97" t="s">
        <v>428</v>
      </c>
      <c r="C220" s="97" t="s">
        <v>0</v>
      </c>
      <c r="D220" s="98"/>
      <c r="E220" s="98">
        <v>87560.69</v>
      </c>
      <c r="F220" s="98"/>
      <c r="G220" s="98">
        <v>80091.63</v>
      </c>
      <c r="I220" t="str">
        <f>VLOOKUP(A220,bnc_Map!A:C,3,FALSE)</f>
        <v>[BnC-4011] BnC Lease Liability</v>
      </c>
      <c r="J220" s="19">
        <v>-547239.68999999994</v>
      </c>
      <c r="L220" s="20"/>
    </row>
    <row r="221" spans="1:12" x14ac:dyDescent="0.45">
      <c r="A221" s="97" t="s">
        <v>429</v>
      </c>
      <c r="B221" s="97" t="s">
        <v>430</v>
      </c>
      <c r="C221" s="97" t="s">
        <v>0</v>
      </c>
      <c r="D221" s="98"/>
      <c r="E221" s="98">
        <v>343333.55</v>
      </c>
      <c r="F221" s="98">
        <v>159237.78</v>
      </c>
      <c r="G221" s="98"/>
      <c r="I221" t="str">
        <f>VLOOKUP(A221,bnc_Map!A:C,3,FALSE)</f>
        <v>[BnC-4011] BnC Lease Liability</v>
      </c>
      <c r="J221" s="19">
        <v>116345.45000000001</v>
      </c>
      <c r="L221" s="20"/>
    </row>
    <row r="222" spans="1:12" x14ac:dyDescent="0.45">
      <c r="A222" s="97" t="s">
        <v>431</v>
      </c>
      <c r="B222" s="97" t="s">
        <v>432</v>
      </c>
      <c r="C222" s="97" t="s">
        <v>0</v>
      </c>
      <c r="D222" s="98"/>
      <c r="E222" s="98">
        <v>148321.42000000001</v>
      </c>
      <c r="F222" s="98"/>
      <c r="G222" s="98">
        <v>106007.45</v>
      </c>
      <c r="I222" t="str">
        <f>VLOOKUP(A222,bnc_Map!A:C,3,FALSE)</f>
        <v>[BnC-4011] BnC Lease Liability</v>
      </c>
      <c r="J222" s="19">
        <v>-608000.42000000004</v>
      </c>
      <c r="L222" s="20"/>
    </row>
    <row r="223" spans="1:12" x14ac:dyDescent="0.45">
      <c r="A223" s="97" t="s">
        <v>433</v>
      </c>
      <c r="B223" s="97" t="s">
        <v>434</v>
      </c>
      <c r="C223" s="97" t="s">
        <v>0</v>
      </c>
      <c r="D223" s="98"/>
      <c r="E223" s="98">
        <v>339156.12</v>
      </c>
      <c r="F223" s="98">
        <v>112375.2</v>
      </c>
      <c r="G223" s="98"/>
      <c r="I223" t="str">
        <f>VLOOKUP(A223,bnc_Map!A:C,3,FALSE)</f>
        <v>[BnC-4011] BnC Lease Liability</v>
      </c>
      <c r="J223" s="19">
        <v>120522.88</v>
      </c>
      <c r="L223" s="20"/>
    </row>
    <row r="224" spans="1:12" x14ac:dyDescent="0.45">
      <c r="A224" s="97" t="s">
        <v>435</v>
      </c>
      <c r="B224" s="97" t="s">
        <v>436</v>
      </c>
      <c r="C224" s="97" t="s">
        <v>0</v>
      </c>
      <c r="D224" s="98"/>
      <c r="E224" s="98">
        <v>101406.57</v>
      </c>
      <c r="F224" s="98">
        <v>83038.559999999998</v>
      </c>
      <c r="G224" s="98"/>
      <c r="I224" t="str">
        <f>VLOOKUP(A224,bnc_Map!A:C,3,FALSE)</f>
        <v>[BnC-4011] BnC Lease Liability</v>
      </c>
      <c r="J224" s="19">
        <v>-561085.57000000007</v>
      </c>
      <c r="L224" s="20"/>
    </row>
    <row r="225" spans="1:12" x14ac:dyDescent="0.45">
      <c r="A225" s="97" t="s">
        <v>437</v>
      </c>
      <c r="B225" s="97" t="s">
        <v>438</v>
      </c>
      <c r="C225" s="97" t="s">
        <v>0</v>
      </c>
      <c r="D225" s="98"/>
      <c r="E225" s="98">
        <v>157411.65</v>
      </c>
      <c r="F225" s="98">
        <v>127818.83</v>
      </c>
      <c r="G225" s="98"/>
      <c r="I225" t="str">
        <f>VLOOKUP(A225,bnc_Map!A:C,3,FALSE)</f>
        <v>[BnC-4011] BnC Lease Liability</v>
      </c>
      <c r="J225" s="19">
        <v>302267.34999999998</v>
      </c>
      <c r="L225" s="20"/>
    </row>
    <row r="226" spans="1:12" x14ac:dyDescent="0.45">
      <c r="A226" s="97" t="s">
        <v>439</v>
      </c>
      <c r="B226" s="97" t="s">
        <v>440</v>
      </c>
      <c r="C226" s="97" t="s">
        <v>0</v>
      </c>
      <c r="D226" s="98"/>
      <c r="E226" s="98">
        <v>45541.75</v>
      </c>
      <c r="F226" s="98">
        <v>65534.48</v>
      </c>
      <c r="G226" s="98"/>
      <c r="I226" t="str">
        <f>VLOOKUP(A226,bnc_Map!A:C,3,FALSE)</f>
        <v>[BnC-4011] BnC Lease Liability</v>
      </c>
      <c r="J226" s="19">
        <v>-505220.75</v>
      </c>
      <c r="L226" s="20"/>
    </row>
    <row r="227" spans="1:12" x14ac:dyDescent="0.45">
      <c r="A227" s="97" t="s">
        <v>441</v>
      </c>
      <c r="B227" s="97" t="s">
        <v>442</v>
      </c>
      <c r="C227" s="97" t="s">
        <v>0</v>
      </c>
      <c r="D227" s="98"/>
      <c r="E227" s="98">
        <v>426513.45</v>
      </c>
      <c r="F227" s="98">
        <v>189502.86</v>
      </c>
      <c r="G227" s="98"/>
      <c r="I227" t="str">
        <f>VLOOKUP(A227,bnc_Map!A:C,3,FALSE)</f>
        <v>[BnC-4011] BnC Lease Liability</v>
      </c>
      <c r="J227" s="19">
        <v>33165.549999999988</v>
      </c>
      <c r="L227" s="20"/>
    </row>
    <row r="228" spans="1:12" x14ac:dyDescent="0.45">
      <c r="A228" s="97" t="s">
        <v>443</v>
      </c>
      <c r="B228" s="97" t="s">
        <v>444</v>
      </c>
      <c r="C228" s="97" t="s">
        <v>0</v>
      </c>
      <c r="D228" s="98"/>
      <c r="E228" s="98">
        <v>22777.14</v>
      </c>
      <c r="F228" s="98">
        <v>132758.19</v>
      </c>
      <c r="G228" s="98"/>
      <c r="I228" t="str">
        <f>VLOOKUP(A228,bnc_Map!A:C,3,FALSE)</f>
        <v>[BnC-4011] BnC Lease Liability</v>
      </c>
      <c r="J228" s="19">
        <v>-482456.14</v>
      </c>
      <c r="L228" s="20"/>
    </row>
    <row r="229" spans="1:12" x14ac:dyDescent="0.45">
      <c r="A229" s="97" t="s">
        <v>1574</v>
      </c>
      <c r="B229" s="97" t="s">
        <v>1575</v>
      </c>
      <c r="C229" s="97" t="s">
        <v>0</v>
      </c>
      <c r="D229" s="98"/>
      <c r="E229" s="98">
        <v>64144.17</v>
      </c>
      <c r="F229" s="98"/>
      <c r="G229" s="98">
        <v>64144.17</v>
      </c>
      <c r="I229" t="str">
        <f>VLOOKUP(A229,bnc_Map!A:C,3,FALSE)</f>
        <v>[BnC-4011] BnC Lease Liability</v>
      </c>
      <c r="J229" s="19">
        <v>395534.83</v>
      </c>
      <c r="L229" s="20"/>
    </row>
    <row r="230" spans="1:12" x14ac:dyDescent="0.45">
      <c r="A230" s="97" t="s">
        <v>1576</v>
      </c>
      <c r="B230" s="97" t="s">
        <v>1577</v>
      </c>
      <c r="C230" s="97" t="s">
        <v>0</v>
      </c>
      <c r="D230" s="98"/>
      <c r="E230" s="98">
        <v>715452.68</v>
      </c>
      <c r="F230" s="98"/>
      <c r="G230" s="98">
        <v>715452.68</v>
      </c>
      <c r="I230" t="str">
        <f>VLOOKUP(A230,bnc_Map!A:C,3,FALSE)</f>
        <v>[BnC-4011] BnC Lease Liability</v>
      </c>
      <c r="J230" s="19">
        <v>-1175131.6800000002</v>
      </c>
      <c r="L230" s="20"/>
    </row>
    <row r="231" spans="1:12" x14ac:dyDescent="0.45">
      <c r="A231" s="97" t="s">
        <v>1578</v>
      </c>
      <c r="B231" s="97" t="s">
        <v>1579</v>
      </c>
      <c r="C231" s="97" t="s">
        <v>0</v>
      </c>
      <c r="D231" s="98"/>
      <c r="E231" s="98">
        <v>534800.74</v>
      </c>
      <c r="F231" s="98"/>
      <c r="G231" s="98">
        <v>534800.74</v>
      </c>
      <c r="I231" t="str">
        <f>VLOOKUP(A231,bnc_Map!A:C,3,FALSE)</f>
        <v>[BnC-4011] BnC Lease Liability</v>
      </c>
      <c r="J231" s="19">
        <v>-75121.739999999991</v>
      </c>
      <c r="L231" s="20"/>
    </row>
    <row r="232" spans="1:12" x14ac:dyDescent="0.45">
      <c r="A232" s="97" t="s">
        <v>445</v>
      </c>
      <c r="B232" s="97" t="s">
        <v>446</v>
      </c>
      <c r="C232" s="97" t="s">
        <v>0</v>
      </c>
      <c r="D232" s="98"/>
      <c r="E232" s="98">
        <v>79392.600000000006</v>
      </c>
      <c r="F232" s="98"/>
      <c r="G232" s="98">
        <v>65565.460000000006</v>
      </c>
      <c r="I232" t="str">
        <f>VLOOKUP(A232,bnc_Map!A:C,3,FALSE)</f>
        <v>[BnC-4011] BnC Lease Liability</v>
      </c>
      <c r="J232" s="19">
        <v>-539071.6</v>
      </c>
      <c r="L232" s="20"/>
    </row>
    <row r="233" spans="1:12" x14ac:dyDescent="0.45">
      <c r="A233" s="97" t="s">
        <v>447</v>
      </c>
      <c r="B233" s="97" t="s">
        <v>448</v>
      </c>
      <c r="C233" s="97" t="s">
        <v>0</v>
      </c>
      <c r="D233" s="98"/>
      <c r="E233" s="98">
        <v>0.02</v>
      </c>
      <c r="F233" s="98">
        <v>17521.830000000002</v>
      </c>
      <c r="G233" s="98"/>
      <c r="I233" t="str">
        <f>VLOOKUP(A233,bnc_Map!A:C,3,FALSE)</f>
        <v>[BnC-4011] BnC Lease Liability</v>
      </c>
      <c r="J233" s="19">
        <v>459678.98</v>
      </c>
      <c r="L233" s="20"/>
    </row>
    <row r="234" spans="1:12" x14ac:dyDescent="0.45">
      <c r="A234" s="97" t="s">
        <v>449</v>
      </c>
      <c r="B234" s="97" t="s">
        <v>450</v>
      </c>
      <c r="C234" s="97" t="s">
        <v>0</v>
      </c>
      <c r="D234" s="98"/>
      <c r="E234" s="98">
        <v>2504246.58</v>
      </c>
      <c r="F234" s="98"/>
      <c r="G234" s="98">
        <v>136.99</v>
      </c>
      <c r="I234" t="str">
        <f>VLOOKUP(A234,bnc_Map!A:C,3,FALSE)</f>
        <v>[BnC-4012] BnC DBS Bridging Loan</v>
      </c>
      <c r="J234" s="19">
        <v>-2963925.58</v>
      </c>
      <c r="L234" s="20"/>
    </row>
    <row r="235" spans="1:12" x14ac:dyDescent="0.45">
      <c r="A235" s="97" t="s">
        <v>451</v>
      </c>
      <c r="B235" s="97" t="s">
        <v>452</v>
      </c>
      <c r="C235" s="97" t="s">
        <v>0</v>
      </c>
      <c r="D235" s="98"/>
      <c r="E235" s="98"/>
      <c r="F235" s="98">
        <v>104</v>
      </c>
      <c r="G235" s="98"/>
      <c r="I235" t="str">
        <f>VLOOKUP(A235,bnc_Map!A:C,3,FALSE)</f>
        <v>[BnC-4050] BnC Payroll Control</v>
      </c>
      <c r="J235" s="19">
        <v>459679</v>
      </c>
      <c r="L235" s="20"/>
    </row>
    <row r="236" spans="1:12" x14ac:dyDescent="0.45">
      <c r="A236" s="97" t="s">
        <v>453</v>
      </c>
      <c r="B236" s="97" t="s">
        <v>454</v>
      </c>
      <c r="C236" s="97" t="s">
        <v>0</v>
      </c>
      <c r="D236" s="98">
        <v>2000</v>
      </c>
      <c r="E236" s="98"/>
      <c r="F236" s="98"/>
      <c r="G236" s="98">
        <v>500</v>
      </c>
      <c r="I236" t="str">
        <f>VLOOKUP(A236,bnc_Map!A:C,3,FALSE)</f>
        <v>[BnC-4050] BnC Payroll Control</v>
      </c>
      <c r="J236" s="19">
        <v>-457679</v>
      </c>
      <c r="L236" s="20"/>
    </row>
    <row r="237" spans="1:12" x14ac:dyDescent="0.45">
      <c r="A237" s="97" t="s">
        <v>455</v>
      </c>
      <c r="B237" s="97" t="s">
        <v>456</v>
      </c>
      <c r="C237" s="97" t="s">
        <v>0</v>
      </c>
      <c r="D237" s="98"/>
      <c r="E237" s="98"/>
      <c r="F237" s="98">
        <v>60443.32</v>
      </c>
      <c r="G237" s="98"/>
      <c r="I237" t="str">
        <f>VLOOKUP(A237,bnc_Map!A:C,3,FALSE)</f>
        <v>[BnC-4050] BnC Payroll Control</v>
      </c>
      <c r="J237" s="19">
        <v>459679</v>
      </c>
      <c r="L237" s="20"/>
    </row>
    <row r="238" spans="1:12" x14ac:dyDescent="0.45">
      <c r="A238" s="97" t="s">
        <v>1580</v>
      </c>
      <c r="B238" s="97" t="s">
        <v>1581</v>
      </c>
      <c r="C238" s="97" t="s">
        <v>0</v>
      </c>
      <c r="D238" s="98"/>
      <c r="E238" s="98">
        <v>101336.29</v>
      </c>
      <c r="F238" s="98"/>
      <c r="G238" s="98">
        <v>101336.29</v>
      </c>
      <c r="I238" t="str">
        <f>VLOOKUP(A238,bnc_Map!A:C,3,FALSE)</f>
        <v>[BnC-4050] BnC Payroll Control</v>
      </c>
      <c r="J238" s="19">
        <v>-561015.29</v>
      </c>
      <c r="L238" s="20"/>
    </row>
    <row r="239" spans="1:12" x14ac:dyDescent="0.45">
      <c r="A239" s="97" t="s">
        <v>457</v>
      </c>
      <c r="B239" s="97" t="s">
        <v>458</v>
      </c>
      <c r="C239" s="97" t="s">
        <v>0</v>
      </c>
      <c r="D239" s="98"/>
      <c r="E239" s="98">
        <v>38401.39</v>
      </c>
      <c r="F239" s="98">
        <v>13997.76</v>
      </c>
      <c r="G239" s="98"/>
      <c r="I239" t="str">
        <f>VLOOKUP(A239,bnc_Map!A:C,3,FALSE)</f>
        <v>[BnC-3020] BnC Deposit Received</v>
      </c>
      <c r="J239" s="19">
        <v>421277.61</v>
      </c>
      <c r="L239" s="20"/>
    </row>
    <row r="240" spans="1:12" x14ac:dyDescent="0.45">
      <c r="A240" s="97" t="s">
        <v>459</v>
      </c>
      <c r="B240" s="97" t="s">
        <v>460</v>
      </c>
      <c r="C240" s="97" t="s">
        <v>0</v>
      </c>
      <c r="D240" s="98"/>
      <c r="E240" s="98">
        <v>350113.34</v>
      </c>
      <c r="F240" s="98"/>
      <c r="G240" s="98">
        <v>470314.59</v>
      </c>
      <c r="I240" t="str">
        <f>VLOOKUP(A240,bnc_Map!A:C,3,FALSE)</f>
        <v>[BnC-4080] BnC Provision For Taxation</v>
      </c>
      <c r="J240" s="19">
        <v>-809792.34000000008</v>
      </c>
      <c r="L240" s="20"/>
    </row>
    <row r="241" spans="1:12" x14ac:dyDescent="0.45">
      <c r="A241" s="97" t="s">
        <v>461</v>
      </c>
      <c r="B241" s="97" t="s">
        <v>462</v>
      </c>
      <c r="C241" s="97" t="s">
        <v>0</v>
      </c>
      <c r="D241" s="98"/>
      <c r="E241" s="98"/>
      <c r="F241" s="98">
        <v>210097.26</v>
      </c>
      <c r="G241" s="98"/>
      <c r="I241" t="str">
        <f>VLOOKUP(A241,bnc_Map!A:C,3,FALSE)</f>
        <v>[BnC-4090] BnC GST Output Tax</v>
      </c>
      <c r="J241" s="19">
        <v>459679</v>
      </c>
      <c r="L241" s="20"/>
    </row>
    <row r="242" spans="1:12" x14ac:dyDescent="0.45">
      <c r="A242" s="97" t="s">
        <v>463</v>
      </c>
      <c r="B242" s="97" t="s">
        <v>464</v>
      </c>
      <c r="C242" s="97" t="s">
        <v>0</v>
      </c>
      <c r="D242" s="98"/>
      <c r="E242" s="98">
        <v>180235.34</v>
      </c>
      <c r="F242" s="98"/>
      <c r="G242" s="98">
        <v>180235.34</v>
      </c>
      <c r="I242" t="str">
        <f>VLOOKUP(A242,bnc_Map!A:C,3,FALSE)</f>
        <v>[BnC-4100] BnC GST Control Account</v>
      </c>
      <c r="J242" s="19">
        <v>279443.66000000003</v>
      </c>
      <c r="L242" s="20"/>
    </row>
    <row r="243" spans="1:12" x14ac:dyDescent="0.45">
      <c r="A243" s="97" t="s">
        <v>465</v>
      </c>
      <c r="B243" s="97" t="s">
        <v>466</v>
      </c>
      <c r="C243" s="97" t="s">
        <v>0</v>
      </c>
      <c r="D243" s="98"/>
      <c r="E243" s="98">
        <v>208464</v>
      </c>
      <c r="F243" s="98"/>
      <c r="G243" s="98">
        <v>99443</v>
      </c>
      <c r="I243" t="str">
        <f>VLOOKUP(A243,bnc_Map!A:C,3,FALSE)</f>
        <v>[BnC-4200] BnC Deferred Taxation</v>
      </c>
      <c r="J243" s="19">
        <v>251215</v>
      </c>
      <c r="L243" s="20"/>
    </row>
    <row r="244" spans="1:12" x14ac:dyDescent="0.45">
      <c r="A244" s="97" t="s">
        <v>467</v>
      </c>
      <c r="B244" s="97" t="s">
        <v>468</v>
      </c>
      <c r="C244" s="97" t="s">
        <v>0</v>
      </c>
      <c r="D244" s="98"/>
      <c r="E244" s="98"/>
      <c r="F244" s="98">
        <v>10300</v>
      </c>
      <c r="G244" s="98"/>
      <c r="I244" t="str">
        <f>VLOOKUP(A244,bnc_Map!A:C,3,FALSE)</f>
        <v>[BnC-4300] BnC Suspense Account</v>
      </c>
      <c r="J244" s="19">
        <v>459679</v>
      </c>
      <c r="L244" s="20"/>
    </row>
    <row r="245" spans="1:12" x14ac:dyDescent="0.45">
      <c r="A245" s="97" t="s">
        <v>469</v>
      </c>
      <c r="B245" s="97" t="s">
        <v>470</v>
      </c>
      <c r="C245" s="97" t="s">
        <v>0</v>
      </c>
      <c r="D245" s="128"/>
      <c r="E245" s="128">
        <v>1743460.72</v>
      </c>
      <c r="F245" s="98"/>
      <c r="G245" s="98">
        <v>152326.35999999999</v>
      </c>
      <c r="I245" t="str">
        <f>VLOOKUP(A245,bnc_Map!A:C,3,FALSE)</f>
        <v>[BnC-5010] BnC Sales</v>
      </c>
      <c r="J245" s="19">
        <v>-1283781.72</v>
      </c>
      <c r="L245" s="20"/>
    </row>
    <row r="246" spans="1:12" x14ac:dyDescent="0.45">
      <c r="A246" s="97" t="s">
        <v>471</v>
      </c>
      <c r="B246" s="97" t="s">
        <v>472</v>
      </c>
      <c r="C246" s="97" t="s">
        <v>0</v>
      </c>
      <c r="D246" s="128"/>
      <c r="E246" s="128">
        <v>2032942.74</v>
      </c>
      <c r="F246" s="98"/>
      <c r="G246" s="98">
        <v>166081.48000000001</v>
      </c>
      <c r="I246" t="str">
        <f>VLOOKUP(A246,bnc_Map!A:C,3,FALSE)</f>
        <v>[BnC-5010] BnC Sales</v>
      </c>
      <c r="J246" s="19">
        <v>-1573263.74</v>
      </c>
      <c r="L246" s="20"/>
    </row>
    <row r="247" spans="1:12" x14ac:dyDescent="0.45">
      <c r="A247" s="97" t="s">
        <v>473</v>
      </c>
      <c r="B247" s="97" t="s">
        <v>474</v>
      </c>
      <c r="C247" s="97" t="s">
        <v>0</v>
      </c>
      <c r="D247" s="128"/>
      <c r="E247" s="128">
        <v>253258.74</v>
      </c>
      <c r="F247" s="98"/>
      <c r="G247" s="98">
        <v>26183.98</v>
      </c>
      <c r="I247" t="str">
        <f>VLOOKUP(A247,bnc_Map!A:C,3,FALSE)</f>
        <v>[BnC-5010] BnC Sales</v>
      </c>
      <c r="J247" s="19">
        <v>206420.26</v>
      </c>
      <c r="L247" s="20"/>
    </row>
    <row r="248" spans="1:12" x14ac:dyDescent="0.45">
      <c r="A248" s="97" t="s">
        <v>475</v>
      </c>
      <c r="B248" s="97" t="s">
        <v>476</v>
      </c>
      <c r="C248" s="97" t="s">
        <v>0</v>
      </c>
      <c r="D248" s="128"/>
      <c r="E248" s="128">
        <v>2385492.62</v>
      </c>
      <c r="F248" s="98"/>
      <c r="G248" s="98">
        <v>216775.97</v>
      </c>
      <c r="I248" t="str">
        <f>VLOOKUP(A248,bnc_Map!A:C,3,FALSE)</f>
        <v>[BnC-5010] BnC Sales</v>
      </c>
      <c r="J248" s="19">
        <v>-1925813.62</v>
      </c>
      <c r="L248" s="20"/>
    </row>
    <row r="249" spans="1:12" x14ac:dyDescent="0.45">
      <c r="A249" s="97" t="s">
        <v>477</v>
      </c>
      <c r="B249" s="97" t="s">
        <v>478</v>
      </c>
      <c r="C249" s="97" t="s">
        <v>0</v>
      </c>
      <c r="D249" s="128"/>
      <c r="E249" s="128">
        <v>812197.36</v>
      </c>
      <c r="F249" s="98"/>
      <c r="G249" s="98">
        <v>68806.59</v>
      </c>
      <c r="I249" t="str">
        <f>VLOOKUP(A249,bnc_Map!A:C,3,FALSE)</f>
        <v>[BnC-5010] BnC Sales</v>
      </c>
      <c r="J249" s="19">
        <v>-352518.36</v>
      </c>
      <c r="L249" s="20"/>
    </row>
    <row r="250" spans="1:12" x14ac:dyDescent="0.45">
      <c r="A250" s="97" t="s">
        <v>479</v>
      </c>
      <c r="B250" s="97" t="s">
        <v>480</v>
      </c>
      <c r="C250" s="97" t="s">
        <v>0</v>
      </c>
      <c r="D250" s="128"/>
      <c r="E250" s="128">
        <v>1521033.52</v>
      </c>
      <c r="F250" s="98"/>
      <c r="G250" s="98">
        <v>113834.41</v>
      </c>
      <c r="I250" t="str">
        <f>VLOOKUP(A250,bnc_Map!A:C,3,FALSE)</f>
        <v>[BnC-5010] BnC Sales</v>
      </c>
      <c r="J250" s="19">
        <v>-1980712.52</v>
      </c>
      <c r="L250" s="20"/>
    </row>
    <row r="251" spans="1:12" x14ac:dyDescent="0.45">
      <c r="A251" s="97" t="s">
        <v>481</v>
      </c>
      <c r="B251" s="97" t="s">
        <v>482</v>
      </c>
      <c r="C251" s="97" t="s">
        <v>0</v>
      </c>
      <c r="D251" s="128"/>
      <c r="E251" s="128">
        <v>292393.65000000002</v>
      </c>
      <c r="F251" s="98"/>
      <c r="G251" s="98">
        <v>17358.07</v>
      </c>
      <c r="I251" t="str">
        <f>VLOOKUP(A251,bnc_Map!A:C,3,FALSE)</f>
        <v>[BnC-5010] BnC Sales</v>
      </c>
      <c r="J251" s="19">
        <v>-752072.65</v>
      </c>
      <c r="L251" s="20"/>
    </row>
    <row r="252" spans="1:12" x14ac:dyDescent="0.45">
      <c r="A252" s="97" t="s">
        <v>483</v>
      </c>
      <c r="B252" s="97" t="s">
        <v>484</v>
      </c>
      <c r="C252" s="97" t="s">
        <v>0</v>
      </c>
      <c r="D252" s="128"/>
      <c r="E252" s="128">
        <v>1421401.38</v>
      </c>
      <c r="F252" s="98"/>
      <c r="G252" s="98">
        <v>119555.72</v>
      </c>
      <c r="I252" t="str">
        <f>VLOOKUP(A252,bnc_Map!A:C,3,FALSE)</f>
        <v>[BnC-5010] BnC Sales</v>
      </c>
      <c r="J252" s="19">
        <v>-1881080.38</v>
      </c>
      <c r="L252" s="20"/>
    </row>
    <row r="253" spans="1:12" x14ac:dyDescent="0.45">
      <c r="A253" s="97" t="s">
        <v>485</v>
      </c>
      <c r="B253" s="97" t="s">
        <v>486</v>
      </c>
      <c r="C253" s="97" t="s">
        <v>0</v>
      </c>
      <c r="D253" s="128"/>
      <c r="E253" s="128">
        <v>1987457.24</v>
      </c>
      <c r="F253" s="98"/>
      <c r="G253" s="98">
        <v>204407.35</v>
      </c>
      <c r="I253" t="str">
        <f>VLOOKUP(A253,bnc_Map!A:C,3,FALSE)</f>
        <v>[BnC-5010] BnC Sales</v>
      </c>
      <c r="J253" s="19">
        <v>-2447136.2400000002</v>
      </c>
      <c r="L253" s="20"/>
    </row>
    <row r="254" spans="1:12" x14ac:dyDescent="0.45">
      <c r="A254" s="97" t="s">
        <v>487</v>
      </c>
      <c r="B254" s="97" t="s">
        <v>488</v>
      </c>
      <c r="C254" s="97" t="s">
        <v>0</v>
      </c>
      <c r="D254" s="128"/>
      <c r="E254" s="128">
        <v>2814042.88</v>
      </c>
      <c r="F254" s="98"/>
      <c r="G254" s="98">
        <v>292901.45</v>
      </c>
      <c r="I254" t="str">
        <f>VLOOKUP(A254,bnc_Map!A:C,3,FALSE)</f>
        <v>[BnC-5010] BnC Sales</v>
      </c>
      <c r="J254" s="19">
        <v>-3273721.88</v>
      </c>
      <c r="L254" s="20"/>
    </row>
    <row r="255" spans="1:12" x14ac:dyDescent="0.45">
      <c r="A255" s="97" t="s">
        <v>489</v>
      </c>
      <c r="B255" s="97" t="s">
        <v>490</v>
      </c>
      <c r="C255" s="97" t="s">
        <v>0</v>
      </c>
      <c r="D255" s="128"/>
      <c r="E255" s="128">
        <v>1028092</v>
      </c>
      <c r="F255" s="98"/>
      <c r="G255" s="98">
        <v>97758.45</v>
      </c>
      <c r="I255" t="str">
        <f>VLOOKUP(A255,bnc_Map!A:C,3,FALSE)</f>
        <v>[BnC-5010] BnC Sales</v>
      </c>
      <c r="J255" s="19">
        <v>-1487771</v>
      </c>
      <c r="L255" s="20"/>
    </row>
    <row r="256" spans="1:12" x14ac:dyDescent="0.45">
      <c r="A256" s="97" t="s">
        <v>491</v>
      </c>
      <c r="B256" s="97" t="s">
        <v>492</v>
      </c>
      <c r="C256" s="97" t="s">
        <v>0</v>
      </c>
      <c r="D256" s="128"/>
      <c r="E256" s="128">
        <v>196005.23</v>
      </c>
      <c r="F256" s="98"/>
      <c r="G256" s="98">
        <v>108542.25</v>
      </c>
      <c r="I256" t="str">
        <f>VLOOKUP(A256,bnc_Map!A:C,3,FALSE)</f>
        <v>[BnC-5010] BnC Sales</v>
      </c>
      <c r="J256" s="19">
        <v>-655684.23</v>
      </c>
      <c r="L256" s="20"/>
    </row>
    <row r="257" spans="1:12" x14ac:dyDescent="0.45">
      <c r="A257" s="97" t="s">
        <v>493</v>
      </c>
      <c r="B257" s="97" t="s">
        <v>494</v>
      </c>
      <c r="C257" s="97" t="s">
        <v>0</v>
      </c>
      <c r="D257" s="128"/>
      <c r="E257" s="128">
        <v>102954.81</v>
      </c>
      <c r="F257" s="98"/>
      <c r="G257" s="98">
        <v>41943.58</v>
      </c>
      <c r="I257" t="str">
        <f>VLOOKUP(A257,bnc_Map!A:C,3,FALSE)</f>
        <v>[BnC-5010] BnC Sales</v>
      </c>
      <c r="J257" s="19">
        <v>-562633.81000000006</v>
      </c>
      <c r="L257" s="20"/>
    </row>
    <row r="258" spans="1:12" x14ac:dyDescent="0.45">
      <c r="A258" s="97" t="s">
        <v>495</v>
      </c>
      <c r="B258" s="97" t="s">
        <v>496</v>
      </c>
      <c r="C258" s="97" t="s">
        <v>0</v>
      </c>
      <c r="D258" s="128"/>
      <c r="E258" s="128">
        <v>41007.43</v>
      </c>
      <c r="F258" s="98"/>
      <c r="G258" s="98">
        <v>4801.38</v>
      </c>
      <c r="I258" t="str">
        <f>VLOOKUP(A258,bnc_Map!A:C,3,FALSE)</f>
        <v>[BnC-5010] BnC Sales</v>
      </c>
      <c r="J258" s="19">
        <v>-500686.43</v>
      </c>
      <c r="L258" s="20"/>
    </row>
    <row r="259" spans="1:12" x14ac:dyDescent="0.45">
      <c r="A259" s="97" t="s">
        <v>497</v>
      </c>
      <c r="B259" s="97" t="s">
        <v>498</v>
      </c>
      <c r="C259" s="97" t="s">
        <v>0</v>
      </c>
      <c r="D259" s="128"/>
      <c r="E259" s="128">
        <v>498116.62</v>
      </c>
      <c r="F259" s="98"/>
      <c r="G259" s="98">
        <v>51404.74</v>
      </c>
      <c r="I259" t="str">
        <f>VLOOKUP(A259,bnc_Map!A:C,3,FALSE)</f>
        <v>[BnC-5010] BnC Sales</v>
      </c>
      <c r="J259" s="19">
        <v>-957795.62</v>
      </c>
      <c r="L259" s="20"/>
    </row>
    <row r="260" spans="1:12" x14ac:dyDescent="0.45">
      <c r="A260" s="97" t="s">
        <v>499</v>
      </c>
      <c r="B260" s="97" t="s">
        <v>500</v>
      </c>
      <c r="C260" s="97" t="s">
        <v>0</v>
      </c>
      <c r="D260" s="128"/>
      <c r="E260" s="128">
        <v>112912.41</v>
      </c>
      <c r="F260" s="98"/>
      <c r="G260" s="98">
        <v>38991.040000000001</v>
      </c>
      <c r="I260" t="str">
        <f>VLOOKUP(A260,bnc_Map!A:C,3,FALSE)</f>
        <v>[BnC-5010] BnC Sales</v>
      </c>
      <c r="J260" s="19">
        <v>-572591.41</v>
      </c>
      <c r="L260" s="20"/>
    </row>
    <row r="261" spans="1:12" x14ac:dyDescent="0.45">
      <c r="A261" s="97" t="s">
        <v>501</v>
      </c>
      <c r="B261" s="97" t="s">
        <v>502</v>
      </c>
      <c r="C261" s="97" t="s">
        <v>0</v>
      </c>
      <c r="D261" s="128"/>
      <c r="E261" s="128">
        <v>690157.4</v>
      </c>
      <c r="F261" s="98"/>
      <c r="G261" s="98">
        <v>136276</v>
      </c>
      <c r="I261" t="str">
        <f>VLOOKUP(A261,bnc_Map!A:C,3,FALSE)</f>
        <v>[BnC-5100] BnC Other Income</v>
      </c>
      <c r="J261" s="19">
        <v>-1149836.3999999999</v>
      </c>
      <c r="L261" s="20"/>
    </row>
    <row r="262" spans="1:12" x14ac:dyDescent="0.45">
      <c r="A262" s="97" t="s">
        <v>503</v>
      </c>
      <c r="B262" s="97" t="s">
        <v>504</v>
      </c>
      <c r="C262" s="97" t="s">
        <v>0</v>
      </c>
      <c r="D262" s="128"/>
      <c r="E262" s="128">
        <v>133048.03</v>
      </c>
      <c r="F262" s="98"/>
      <c r="G262" s="98">
        <v>11726.97</v>
      </c>
      <c r="I262" t="str">
        <f>VLOOKUP(A262,bnc_Map!A:C,3,FALSE)</f>
        <v>[BnC-5100] BnC Royalty Income - Swissbake</v>
      </c>
      <c r="J262" s="19">
        <v>-592727.03</v>
      </c>
      <c r="L262" s="20"/>
    </row>
    <row r="263" spans="1:12" x14ac:dyDescent="0.45">
      <c r="A263" s="97" t="s">
        <v>505</v>
      </c>
      <c r="B263" s="97" t="s">
        <v>506</v>
      </c>
      <c r="C263" s="97" t="s">
        <v>0</v>
      </c>
      <c r="D263" s="128"/>
      <c r="E263" s="128">
        <v>227832.54</v>
      </c>
      <c r="F263" s="98"/>
      <c r="G263" s="98">
        <v>13662.5</v>
      </c>
      <c r="I263" t="str">
        <f>VLOOKUP(A263,bnc_Map!A:C,3,FALSE)</f>
        <v>[BnC-5100] BnC Rental Rebate</v>
      </c>
      <c r="J263" s="19">
        <v>-687511.54</v>
      </c>
      <c r="L263" s="20"/>
    </row>
    <row r="264" spans="1:12" x14ac:dyDescent="0.45">
      <c r="A264" s="97" t="s">
        <v>507</v>
      </c>
      <c r="B264" s="97" t="s">
        <v>508</v>
      </c>
      <c r="C264" s="97" t="s">
        <v>0</v>
      </c>
      <c r="D264" s="128"/>
      <c r="E264" s="128">
        <v>8839.92</v>
      </c>
      <c r="F264" s="98"/>
      <c r="G264" s="98">
        <v>1749.84</v>
      </c>
      <c r="I264" t="str">
        <f>VLOOKUP(A264,bnc_Map!A:C,3,FALSE)</f>
        <v>[BnC-5100] BnC Royalty Income - Kokubu</v>
      </c>
      <c r="J264" s="19">
        <v>-468518.92</v>
      </c>
      <c r="L264" s="20"/>
    </row>
    <row r="265" spans="1:12" x14ac:dyDescent="0.45">
      <c r="A265" s="97" t="s">
        <v>509</v>
      </c>
      <c r="B265" s="97" t="s">
        <v>510</v>
      </c>
      <c r="C265" s="97" t="s">
        <v>0</v>
      </c>
      <c r="D265" s="128"/>
      <c r="E265" s="128">
        <v>1846.9</v>
      </c>
      <c r="F265" s="98"/>
      <c r="G265" s="98"/>
      <c r="I265" t="str">
        <f>VLOOKUP(A265,bnc_Map!A:C,3,FALSE)</f>
        <v>[BnC-5100] BnC Royalty Income - Commonwealth Culinary</v>
      </c>
      <c r="J265" s="19">
        <v>-461525.9</v>
      </c>
      <c r="L265" s="20"/>
    </row>
    <row r="266" spans="1:12" x14ac:dyDescent="0.45">
      <c r="A266" s="97" t="s">
        <v>511</v>
      </c>
      <c r="B266" s="97" t="s">
        <v>512</v>
      </c>
      <c r="C266" s="97" t="s">
        <v>0</v>
      </c>
      <c r="D266" s="128"/>
      <c r="E266" s="128">
        <v>9070</v>
      </c>
      <c r="F266" s="98"/>
      <c r="G266" s="98"/>
      <c r="I266" t="str">
        <f>VLOOKUP(A266,bnc_Map!A:C,3,FALSE)</f>
        <v>[BnC-5300] BnC Rental Income</v>
      </c>
      <c r="J266" s="19">
        <v>-468749</v>
      </c>
      <c r="L266" s="20"/>
    </row>
    <row r="267" spans="1:12" x14ac:dyDescent="0.45">
      <c r="A267" s="97" t="s">
        <v>513</v>
      </c>
      <c r="B267" s="97" t="s">
        <v>514</v>
      </c>
      <c r="C267" s="97" t="s">
        <v>0</v>
      </c>
      <c r="D267" s="128">
        <v>1088297.77</v>
      </c>
      <c r="E267" s="128"/>
      <c r="F267" s="98">
        <v>114336.95</v>
      </c>
      <c r="G267" s="98"/>
      <c r="I267" t="str">
        <f>VLOOKUP(A267,bnc_Map!A:C,3,FALSE)</f>
        <v>[BnC-6010] BnC Ingredient/Beverage/Consumable</v>
      </c>
      <c r="J267" s="19">
        <v>628618.77</v>
      </c>
      <c r="L267" s="20"/>
    </row>
    <row r="268" spans="1:12" s="159" customFormat="1" x14ac:dyDescent="0.45">
      <c r="A268" s="157" t="s">
        <v>513</v>
      </c>
      <c r="B268" s="157" t="s">
        <v>514</v>
      </c>
      <c r="C268" s="157"/>
      <c r="D268" s="158"/>
      <c r="E268" s="158">
        <v>45073.169999993872</v>
      </c>
      <c r="F268" s="158"/>
      <c r="G268" s="158"/>
      <c r="I268" s="159" t="str">
        <f>VLOOKUP(A268,bnc_Map!A:C,3,FALSE)</f>
        <v>[BnC-6010] BnC Ingredient/Beverage/Consumable</v>
      </c>
      <c r="J268" s="160">
        <v>-504752.16999999387</v>
      </c>
      <c r="K268"/>
      <c r="L268" s="20"/>
    </row>
    <row r="269" spans="1:12" x14ac:dyDescent="0.45">
      <c r="A269" s="97" t="s">
        <v>515</v>
      </c>
      <c r="B269" s="97" t="s">
        <v>516</v>
      </c>
      <c r="C269" s="97" t="s">
        <v>0</v>
      </c>
      <c r="D269" s="128">
        <v>366957.6</v>
      </c>
      <c r="E269" s="128"/>
      <c r="F269" s="98">
        <v>42869.61</v>
      </c>
      <c r="G269" s="98"/>
      <c r="I269" t="str">
        <f>VLOOKUP(A269,bnc_Map!A:C,3,FALSE)</f>
        <v>[BnC-6010] BnC Ingredient/Beverage/Consumable</v>
      </c>
      <c r="J269" s="19">
        <v>-92721.400000000023</v>
      </c>
      <c r="L269" s="20"/>
    </row>
    <row r="270" spans="1:12" x14ac:dyDescent="0.45">
      <c r="A270" s="97" t="s">
        <v>517</v>
      </c>
      <c r="B270" s="97" t="s">
        <v>518</v>
      </c>
      <c r="C270" s="97" t="s">
        <v>0</v>
      </c>
      <c r="D270" s="128">
        <v>114324.28</v>
      </c>
      <c r="E270" s="128"/>
      <c r="F270" s="98">
        <v>11312.49</v>
      </c>
      <c r="G270" s="98"/>
      <c r="I270" t="str">
        <f>VLOOKUP(A270,bnc_Map!A:C,3,FALSE)</f>
        <v>[BnC-6010] BnC Ingredient/Beverage/Consumable</v>
      </c>
      <c r="J270" s="19">
        <v>114324.28</v>
      </c>
      <c r="L270" s="20"/>
    </row>
    <row r="271" spans="1:12" x14ac:dyDescent="0.45">
      <c r="A271" s="97" t="s">
        <v>519</v>
      </c>
      <c r="B271" s="97" t="s">
        <v>520</v>
      </c>
      <c r="C271" s="97" t="s">
        <v>0</v>
      </c>
      <c r="D271" s="128">
        <v>5656.4</v>
      </c>
      <c r="E271" s="128"/>
      <c r="F271" s="98">
        <v>554.57000000000005</v>
      </c>
      <c r="G271" s="98"/>
      <c r="I271" t="str">
        <f>VLOOKUP(A271,bnc_Map!A:C,3,FALSE)</f>
        <v>[BnC-6010] BnC Ingredient/Beverage/Consumable</v>
      </c>
      <c r="J271" s="19">
        <v>5656.4</v>
      </c>
      <c r="L271" s="20"/>
    </row>
    <row r="272" spans="1:12" x14ac:dyDescent="0.45">
      <c r="A272" s="97" t="s">
        <v>521</v>
      </c>
      <c r="B272" s="97" t="s">
        <v>522</v>
      </c>
      <c r="C272" s="97" t="s">
        <v>0</v>
      </c>
      <c r="D272" s="128">
        <v>249865.07</v>
      </c>
      <c r="E272" s="128"/>
      <c r="F272" s="98">
        <v>26288.69</v>
      </c>
      <c r="G272" s="98"/>
      <c r="I272" t="str">
        <f>VLOOKUP(A272,bnc_Map!A:C,3,FALSE)</f>
        <v>[BnC-6010] BnC Ingredient/Beverage/Consumable</v>
      </c>
      <c r="J272" s="19">
        <v>709544.07000000007</v>
      </c>
      <c r="L272" s="20"/>
    </row>
    <row r="273" spans="1:12" x14ac:dyDescent="0.45">
      <c r="A273" s="97" t="s">
        <v>523</v>
      </c>
      <c r="B273" s="97" t="s">
        <v>524</v>
      </c>
      <c r="C273" s="97" t="s">
        <v>0</v>
      </c>
      <c r="D273" s="128">
        <v>14707.82</v>
      </c>
      <c r="E273" s="128"/>
      <c r="F273" s="98">
        <v>1137.69</v>
      </c>
      <c r="G273" s="98"/>
      <c r="I273" t="str">
        <f>VLOOKUP(A273,bnc_Map!A:C,3,FALSE)</f>
        <v>[BnC-6010] BnC Ingredient/Beverage/Consumable</v>
      </c>
      <c r="J273" s="19">
        <v>474386.82</v>
      </c>
      <c r="L273" s="20"/>
    </row>
    <row r="274" spans="1:12" x14ac:dyDescent="0.45">
      <c r="A274" s="97" t="s">
        <v>525</v>
      </c>
      <c r="B274" s="97" t="s">
        <v>526</v>
      </c>
      <c r="C274" s="97" t="s">
        <v>0</v>
      </c>
      <c r="D274" s="128">
        <v>56619.12</v>
      </c>
      <c r="E274" s="128"/>
      <c r="F274" s="98">
        <v>7667.57</v>
      </c>
      <c r="G274" s="98"/>
      <c r="I274" t="str">
        <f>VLOOKUP(A274,bnc_Map!A:C,3,FALSE)</f>
        <v>[BnC-6010] BnC Ingredient/Beverage/Consumable</v>
      </c>
      <c r="J274" s="19">
        <v>516298.12</v>
      </c>
      <c r="L274" s="20"/>
    </row>
    <row r="275" spans="1:12" x14ac:dyDescent="0.45">
      <c r="A275" s="97" t="s">
        <v>527</v>
      </c>
      <c r="B275" s="97" t="s">
        <v>528</v>
      </c>
      <c r="C275" s="97" t="s">
        <v>0</v>
      </c>
      <c r="D275" s="128">
        <v>144580.48000000001</v>
      </c>
      <c r="E275" s="128"/>
      <c r="F275" s="98">
        <v>12582.25</v>
      </c>
      <c r="G275" s="98"/>
      <c r="I275" t="str">
        <f>VLOOKUP(A275,bnc_Map!A:C,3,FALSE)</f>
        <v>[BnC-6010] BnC Ingredient/Beverage/Consumable</v>
      </c>
      <c r="J275" s="19">
        <v>604259.48</v>
      </c>
      <c r="L275" s="20"/>
    </row>
    <row r="276" spans="1:12" x14ac:dyDescent="0.45">
      <c r="A276" s="97" t="s">
        <v>529</v>
      </c>
      <c r="B276" s="97" t="s">
        <v>530</v>
      </c>
      <c r="C276" s="97" t="s">
        <v>0</v>
      </c>
      <c r="D276" s="128">
        <v>141386.5</v>
      </c>
      <c r="E276" s="128"/>
      <c r="F276" s="98">
        <v>7075.26</v>
      </c>
      <c r="G276" s="98"/>
      <c r="I276" t="str">
        <f>VLOOKUP(A276,bnc_Map!A:C,3,FALSE)</f>
        <v>[BnC-6010] BnC Ingredient/Beverage/Consumable</v>
      </c>
      <c r="J276" s="19">
        <v>601065.5</v>
      </c>
      <c r="L276" s="20"/>
    </row>
    <row r="277" spans="1:12" x14ac:dyDescent="0.45">
      <c r="A277" s="97" t="s">
        <v>531</v>
      </c>
      <c r="B277" s="97" t="s">
        <v>532</v>
      </c>
      <c r="C277" s="97" t="s">
        <v>0</v>
      </c>
      <c r="D277" s="128">
        <v>205689.66</v>
      </c>
      <c r="E277" s="128"/>
      <c r="F277" s="98">
        <v>23233.61</v>
      </c>
      <c r="G277" s="98"/>
      <c r="I277" t="str">
        <f>VLOOKUP(A277,bnc_Map!A:C,3,FALSE)</f>
        <v>[BnC-6010] BnC Ingredient/Beverage/Consumable</v>
      </c>
      <c r="J277" s="19">
        <v>205689.66</v>
      </c>
      <c r="L277" s="20"/>
    </row>
    <row r="278" spans="1:12" x14ac:dyDescent="0.45">
      <c r="A278" s="97" t="s">
        <v>533</v>
      </c>
      <c r="B278" s="97" t="s">
        <v>534</v>
      </c>
      <c r="C278" s="97" t="s">
        <v>0</v>
      </c>
      <c r="D278" s="128">
        <v>137996.53</v>
      </c>
      <c r="E278" s="128"/>
      <c r="F278" s="98">
        <v>13304.26</v>
      </c>
      <c r="G278" s="98"/>
      <c r="I278" t="str">
        <f>VLOOKUP(A278,bnc_Map!A:C,3,FALSE)</f>
        <v>[BnC-6010] BnC Ingredient/Beverage/Consumable</v>
      </c>
      <c r="J278" s="19">
        <v>597675.53</v>
      </c>
      <c r="L278" s="20"/>
    </row>
    <row r="279" spans="1:12" x14ac:dyDescent="0.45">
      <c r="A279" s="97" t="s">
        <v>535</v>
      </c>
      <c r="B279" s="97" t="s">
        <v>536</v>
      </c>
      <c r="C279" s="97" t="s">
        <v>0</v>
      </c>
      <c r="D279" s="128">
        <v>360302.45</v>
      </c>
      <c r="E279" s="128"/>
      <c r="F279" s="98">
        <v>45251.01</v>
      </c>
      <c r="G279" s="98"/>
      <c r="I279" t="str">
        <f>VLOOKUP(A279,bnc_Map!A:C,3,FALSE)</f>
        <v>[BnC-6010] BnC Ingredient/Beverage/Consumable</v>
      </c>
      <c r="J279" s="19">
        <v>819981.45</v>
      </c>
      <c r="L279" s="20"/>
    </row>
    <row r="280" spans="1:12" x14ac:dyDescent="0.45">
      <c r="A280" s="97" t="s">
        <v>537</v>
      </c>
      <c r="B280" s="97" t="s">
        <v>538</v>
      </c>
      <c r="C280" s="97" t="s">
        <v>0</v>
      </c>
      <c r="D280" s="128">
        <v>123541.37</v>
      </c>
      <c r="E280" s="128"/>
      <c r="F280" s="98">
        <v>12190.73</v>
      </c>
      <c r="G280" s="98"/>
      <c r="I280" t="str">
        <f>VLOOKUP(A280,bnc_Map!A:C,3,FALSE)</f>
        <v>[BnC-6010] BnC Ingredient/Beverage/Consumable</v>
      </c>
      <c r="J280" s="19">
        <v>583220.37</v>
      </c>
      <c r="L280" s="20"/>
    </row>
    <row r="281" spans="1:12" x14ac:dyDescent="0.45">
      <c r="A281" s="97" t="s">
        <v>539</v>
      </c>
      <c r="B281" s="97" t="s">
        <v>540</v>
      </c>
      <c r="C281" s="97" t="s">
        <v>0</v>
      </c>
      <c r="D281" s="128">
        <v>25844.58</v>
      </c>
      <c r="E281" s="128"/>
      <c r="F281" s="98">
        <v>11284.08</v>
      </c>
      <c r="G281" s="98"/>
      <c r="I281" t="str">
        <f>VLOOKUP(A281,bnc_Map!A:C,3,FALSE)</f>
        <v>[BnC-6010] BnC Ingredient/Beverage/Consumable</v>
      </c>
      <c r="J281" s="19">
        <v>485523.58</v>
      </c>
      <c r="L281" s="20"/>
    </row>
    <row r="282" spans="1:12" x14ac:dyDescent="0.45">
      <c r="A282" s="97" t="s">
        <v>541</v>
      </c>
      <c r="B282" s="97" t="s">
        <v>542</v>
      </c>
      <c r="C282" s="97" t="s">
        <v>0</v>
      </c>
      <c r="D282" s="128">
        <v>5761.79</v>
      </c>
      <c r="E282" s="128"/>
      <c r="F282" s="98">
        <v>216</v>
      </c>
      <c r="G282" s="98"/>
      <c r="I282" t="str">
        <f>VLOOKUP(A282,bnc_Map!A:C,3,FALSE)</f>
        <v>[BnC-6010] BnC Ingredient/Beverage/Consumable</v>
      </c>
      <c r="J282" s="19">
        <v>465440.79</v>
      </c>
      <c r="L282" s="20"/>
    </row>
    <row r="283" spans="1:12" x14ac:dyDescent="0.45">
      <c r="A283" s="97" t="s">
        <v>543</v>
      </c>
      <c r="B283" s="97" t="s">
        <v>544</v>
      </c>
      <c r="C283" s="97" t="s">
        <v>0</v>
      </c>
      <c r="D283" s="128">
        <v>7433.69</v>
      </c>
      <c r="E283" s="128"/>
      <c r="F283" s="98">
        <v>444</v>
      </c>
      <c r="G283" s="98"/>
      <c r="I283" t="str">
        <f>VLOOKUP(A283,bnc_Map!A:C,3,FALSE)</f>
        <v>[BnC-6010] BnC Ingredient/Beverage/Consumable</v>
      </c>
      <c r="J283" s="19">
        <v>467112.69</v>
      </c>
      <c r="L283" s="20"/>
    </row>
    <row r="284" spans="1:12" x14ac:dyDescent="0.45">
      <c r="A284" s="97" t="s">
        <v>545</v>
      </c>
      <c r="B284" s="97" t="s">
        <v>546</v>
      </c>
      <c r="C284" s="97" t="s">
        <v>0</v>
      </c>
      <c r="D284" s="128">
        <v>28611.71</v>
      </c>
      <c r="E284" s="128"/>
      <c r="F284" s="98">
        <v>3644.51</v>
      </c>
      <c r="G284" s="98"/>
      <c r="I284" t="str">
        <f>VLOOKUP(A284,bnc_Map!A:C,3,FALSE)</f>
        <v>[BnC-6010] BnC Ingredient/Beverage/Consumable</v>
      </c>
      <c r="J284" s="19">
        <v>488290.71</v>
      </c>
      <c r="L284" s="20"/>
    </row>
    <row r="285" spans="1:12" x14ac:dyDescent="0.45">
      <c r="A285" s="97" t="s">
        <v>547</v>
      </c>
      <c r="B285" s="97" t="s">
        <v>548</v>
      </c>
      <c r="C285" s="97" t="s">
        <v>0</v>
      </c>
      <c r="D285" s="128">
        <v>1038.22</v>
      </c>
      <c r="E285" s="128"/>
      <c r="F285" s="98"/>
      <c r="G285" s="98"/>
      <c r="I285" t="str">
        <f>VLOOKUP(A285,bnc_Map!A:C,3,FALSE)</f>
        <v>[BnC-6010] BnC Ingredient/Beverage/Consumable</v>
      </c>
      <c r="J285" s="19">
        <v>-458640.78</v>
      </c>
      <c r="L285" s="20"/>
    </row>
    <row r="286" spans="1:12" x14ac:dyDescent="0.45">
      <c r="A286" s="97" t="s">
        <v>549</v>
      </c>
      <c r="B286" s="97" t="s">
        <v>550</v>
      </c>
      <c r="C286" s="97" t="s">
        <v>0</v>
      </c>
      <c r="D286" s="128">
        <v>2026.82</v>
      </c>
      <c r="E286" s="128"/>
      <c r="F286" s="98">
        <v>198</v>
      </c>
      <c r="G286" s="98"/>
      <c r="I286" t="str">
        <f>VLOOKUP(A286,bnc_Map!A:C,3,FALSE)</f>
        <v>[BnC-6010] BnC Ingredient/Beverage/Consumable</v>
      </c>
      <c r="J286" s="19">
        <v>461705.82</v>
      </c>
      <c r="L286" s="20"/>
    </row>
    <row r="287" spans="1:12" x14ac:dyDescent="0.45">
      <c r="A287" s="97" t="s">
        <v>551</v>
      </c>
      <c r="B287" s="97" t="s">
        <v>552</v>
      </c>
      <c r="C287" s="97" t="s">
        <v>0</v>
      </c>
      <c r="D287" s="128">
        <v>8157</v>
      </c>
      <c r="E287" s="128"/>
      <c r="F287" s="98">
        <v>1053</v>
      </c>
      <c r="G287" s="98"/>
      <c r="I287" t="str">
        <f>VLOOKUP(A287,bnc_Map!A:C,3,FALSE)</f>
        <v>[BnC-6010] BnC Ingredient/Beverage/Consumable</v>
      </c>
      <c r="J287" s="19">
        <v>-451522</v>
      </c>
      <c r="L287" s="20"/>
    </row>
    <row r="288" spans="1:12" x14ac:dyDescent="0.45">
      <c r="A288" s="97" t="s">
        <v>553</v>
      </c>
      <c r="B288" s="97" t="s">
        <v>554</v>
      </c>
      <c r="C288" s="97" t="s">
        <v>0</v>
      </c>
      <c r="D288" s="128">
        <v>20326.77</v>
      </c>
      <c r="E288" s="128"/>
      <c r="F288" s="98">
        <v>1223.4000000000001</v>
      </c>
      <c r="G288" s="98"/>
      <c r="I288" t="str">
        <f>VLOOKUP(A288,bnc_Map!A:C,3,FALSE)</f>
        <v>[BnC-6010] BnC Ingredient/Beverage/Consumable</v>
      </c>
      <c r="J288" s="19">
        <v>480005.77</v>
      </c>
      <c r="L288" s="20"/>
    </row>
    <row r="289" spans="1:12" x14ac:dyDescent="0.45">
      <c r="A289" s="97" t="s">
        <v>555</v>
      </c>
      <c r="B289" s="97" t="s">
        <v>556</v>
      </c>
      <c r="C289" s="97" t="s">
        <v>0</v>
      </c>
      <c r="D289" s="128">
        <v>90993.91</v>
      </c>
      <c r="E289" s="128"/>
      <c r="F289" s="98">
        <v>13096.43</v>
      </c>
      <c r="G289" s="98"/>
      <c r="I289" t="str">
        <f>VLOOKUP(A289,bnc_Map!A:C,3,FALSE)</f>
        <v>[BnC-6010] BnC Ingredient/Beverage/Consumable</v>
      </c>
      <c r="J289" s="19">
        <v>-368685.08999999997</v>
      </c>
      <c r="L289" s="20"/>
    </row>
    <row r="290" spans="1:12" x14ac:dyDescent="0.45">
      <c r="A290" s="97" t="s">
        <v>557</v>
      </c>
      <c r="B290" s="97" t="s">
        <v>558</v>
      </c>
      <c r="C290" s="97" t="s">
        <v>0</v>
      </c>
      <c r="D290" s="128">
        <v>12513.45</v>
      </c>
      <c r="E290" s="128"/>
      <c r="F290" s="98">
        <v>330</v>
      </c>
      <c r="G290" s="98"/>
      <c r="I290" t="str">
        <f>VLOOKUP(A290,bnc_Map!A:C,3,FALSE)</f>
        <v>[BnC-6010] BnC Ingredient/Beverage/Consumable</v>
      </c>
      <c r="J290" s="19">
        <v>472192.45</v>
      </c>
      <c r="L290" s="20"/>
    </row>
    <row r="291" spans="1:12" x14ac:dyDescent="0.45">
      <c r="A291" s="97" t="s">
        <v>559</v>
      </c>
      <c r="B291" s="97" t="s">
        <v>560</v>
      </c>
      <c r="C291" s="97" t="s">
        <v>0</v>
      </c>
      <c r="D291" s="128">
        <v>12197.86</v>
      </c>
      <c r="E291" s="128"/>
      <c r="F291" s="98">
        <v>589.95000000000005</v>
      </c>
      <c r="G291" s="98"/>
      <c r="I291" t="str">
        <f>VLOOKUP(A291,bnc_Map!A:C,3,FALSE)</f>
        <v>[BnC-6010] BnC Ingredient/Beverage/Consumable</v>
      </c>
      <c r="J291" s="19">
        <v>-447481.14</v>
      </c>
      <c r="L291" s="20"/>
    </row>
    <row r="292" spans="1:12" x14ac:dyDescent="0.45">
      <c r="A292" s="97" t="s">
        <v>561</v>
      </c>
      <c r="B292" s="97" t="s">
        <v>562</v>
      </c>
      <c r="C292" s="97" t="s">
        <v>0</v>
      </c>
      <c r="D292" s="128">
        <v>25724.67</v>
      </c>
      <c r="E292" s="128"/>
      <c r="F292" s="98">
        <v>3057.68</v>
      </c>
      <c r="G292" s="98"/>
      <c r="I292" t="str">
        <f>VLOOKUP(A292,bnc_Map!A:C,3,FALSE)</f>
        <v>[BnC-6010] BnC Ingredient/Beverage/Consumable</v>
      </c>
      <c r="J292" s="19">
        <v>485403.67</v>
      </c>
      <c r="L292" s="20"/>
    </row>
    <row r="293" spans="1:12" x14ac:dyDescent="0.45">
      <c r="A293" s="97" t="s">
        <v>563</v>
      </c>
      <c r="B293" s="97" t="s">
        <v>564</v>
      </c>
      <c r="C293" s="97" t="s">
        <v>0</v>
      </c>
      <c r="D293" s="128">
        <v>120374.37</v>
      </c>
      <c r="E293" s="128"/>
      <c r="F293" s="98">
        <v>11829.66</v>
      </c>
      <c r="G293" s="98"/>
      <c r="I293" t="str">
        <f>VLOOKUP(A293,bnc_Map!A:C,3,FALSE)</f>
        <v>[BnC-6010] BnC Ingredient/Beverage/Consumable</v>
      </c>
      <c r="J293" s="19">
        <v>-339304.63</v>
      </c>
      <c r="L293" s="20"/>
    </row>
    <row r="294" spans="1:12" x14ac:dyDescent="0.45">
      <c r="A294" s="97" t="s">
        <v>565</v>
      </c>
      <c r="B294" s="97" t="s">
        <v>566</v>
      </c>
      <c r="C294" s="97" t="s">
        <v>0</v>
      </c>
      <c r="D294" s="128">
        <v>9437.18</v>
      </c>
      <c r="E294" s="128"/>
      <c r="F294" s="98">
        <v>1197</v>
      </c>
      <c r="G294" s="98"/>
      <c r="I294" t="str">
        <f>VLOOKUP(A294,bnc_Map!A:C,3,FALSE)</f>
        <v>[BnC-6010] BnC Ingredient/Beverage/Consumable</v>
      </c>
      <c r="J294" s="19">
        <v>469116.18</v>
      </c>
      <c r="L294" s="20"/>
    </row>
    <row r="295" spans="1:12" x14ac:dyDescent="0.45">
      <c r="A295" s="97" t="s">
        <v>567</v>
      </c>
      <c r="B295" s="97" t="s">
        <v>568</v>
      </c>
      <c r="C295" s="97" t="s">
        <v>0</v>
      </c>
      <c r="D295" s="128">
        <v>6640.27</v>
      </c>
      <c r="E295" s="128"/>
      <c r="F295" s="98">
        <v>1916.96</v>
      </c>
      <c r="G295" s="98"/>
      <c r="I295" t="str">
        <f>VLOOKUP(A295,bnc_Map!A:C,3,FALSE)</f>
        <v>[BnC-6010] BnC Ingredient/Beverage/Consumable</v>
      </c>
      <c r="J295" s="19">
        <v>-453038.73</v>
      </c>
      <c r="L295" s="20"/>
    </row>
    <row r="296" spans="1:12" x14ac:dyDescent="0.45">
      <c r="A296" s="97" t="s">
        <v>569</v>
      </c>
      <c r="B296" s="97" t="s">
        <v>570</v>
      </c>
      <c r="C296" s="97" t="s">
        <v>0</v>
      </c>
      <c r="D296" s="128">
        <v>1184</v>
      </c>
      <c r="E296" s="128"/>
      <c r="F296" s="98">
        <v>418.5</v>
      </c>
      <c r="G296" s="98"/>
      <c r="I296" t="str">
        <f>VLOOKUP(A296,bnc_Map!A:C,3,FALSE)</f>
        <v>[BnC-6010] BnC Ingredient/Beverage/Consumable</v>
      </c>
      <c r="J296" s="19">
        <v>460863</v>
      </c>
      <c r="L296" s="20"/>
    </row>
    <row r="297" spans="1:12" x14ac:dyDescent="0.45">
      <c r="A297" s="97" t="s">
        <v>571</v>
      </c>
      <c r="B297" s="97" t="s">
        <v>572</v>
      </c>
      <c r="C297" s="97" t="s">
        <v>0</v>
      </c>
      <c r="D297" s="128">
        <v>4427</v>
      </c>
      <c r="E297" s="128"/>
      <c r="F297" s="98">
        <v>552</v>
      </c>
      <c r="G297" s="98"/>
      <c r="I297" t="str">
        <f>VLOOKUP(A297,bnc_Map!A:C,3,FALSE)</f>
        <v>[BnC-6010] BnC Ingredient/Beverage/Consumable</v>
      </c>
      <c r="J297" s="19">
        <v>-455252</v>
      </c>
      <c r="L297" s="20"/>
    </row>
    <row r="298" spans="1:12" x14ac:dyDescent="0.45">
      <c r="A298" s="97" t="s">
        <v>573</v>
      </c>
      <c r="B298" s="97" t="s">
        <v>574</v>
      </c>
      <c r="C298" s="97" t="s">
        <v>0</v>
      </c>
      <c r="D298" s="128">
        <v>4792.87</v>
      </c>
      <c r="E298" s="128"/>
      <c r="F298" s="98">
        <v>139.5</v>
      </c>
      <c r="G298" s="98"/>
      <c r="I298" t="str">
        <f>VLOOKUP(A298,bnc_Map!A:C,3,FALSE)</f>
        <v>[BnC-6010] BnC Ingredient/Beverage/Consumable</v>
      </c>
      <c r="J298" s="19">
        <v>464471.87</v>
      </c>
      <c r="L298" s="20"/>
    </row>
    <row r="299" spans="1:12" x14ac:dyDescent="0.45">
      <c r="A299" s="97" t="s">
        <v>575</v>
      </c>
      <c r="B299" s="97" t="s">
        <v>576</v>
      </c>
      <c r="C299" s="97" t="s">
        <v>0</v>
      </c>
      <c r="D299" s="128">
        <v>4711.92</v>
      </c>
      <c r="E299" s="128"/>
      <c r="F299" s="98">
        <v>127.5</v>
      </c>
      <c r="G299" s="98"/>
      <c r="I299" t="str">
        <f>VLOOKUP(A299,bnc_Map!A:C,3,FALSE)</f>
        <v>[BnC-6010] BnC Ingredient/Beverage/Consumable</v>
      </c>
      <c r="J299" s="19">
        <v>-454967.08</v>
      </c>
      <c r="L299" s="20"/>
    </row>
    <row r="300" spans="1:12" x14ac:dyDescent="0.45">
      <c r="A300" s="97" t="s">
        <v>577</v>
      </c>
      <c r="B300" s="97" t="s">
        <v>578</v>
      </c>
      <c r="C300" s="97" t="s">
        <v>0</v>
      </c>
      <c r="D300" s="128">
        <v>72.89</v>
      </c>
      <c r="E300" s="128"/>
      <c r="F300" s="98"/>
      <c r="G300" s="98"/>
      <c r="I300" t="str">
        <f>VLOOKUP(A300,bnc_Map!A:C,3,FALSE)</f>
        <v>[BnC-6010] BnC Ingredient/Beverage/Consumable</v>
      </c>
      <c r="J300" s="19">
        <v>459751.89</v>
      </c>
      <c r="L300" s="20"/>
    </row>
    <row r="301" spans="1:12" x14ac:dyDescent="0.45">
      <c r="A301" s="97" t="s">
        <v>579</v>
      </c>
      <c r="B301" s="97" t="s">
        <v>580</v>
      </c>
      <c r="C301" s="97" t="s">
        <v>0</v>
      </c>
      <c r="D301" s="128">
        <v>1019.77</v>
      </c>
      <c r="E301" s="128"/>
      <c r="F301" s="98"/>
      <c r="G301" s="98"/>
      <c r="I301" t="str">
        <f>VLOOKUP(A301,bnc_Map!A:C,3,FALSE)</f>
        <v>[BnC-6010] BnC Ingredient/Beverage/Consumable</v>
      </c>
      <c r="J301" s="19">
        <v>-458659.23</v>
      </c>
      <c r="L301" s="20"/>
    </row>
    <row r="302" spans="1:12" x14ac:dyDescent="0.45">
      <c r="A302" s="97" t="s">
        <v>581</v>
      </c>
      <c r="B302" s="97" t="s">
        <v>582</v>
      </c>
      <c r="C302" s="97" t="s">
        <v>0</v>
      </c>
      <c r="D302" s="128">
        <v>3794.01</v>
      </c>
      <c r="E302" s="128"/>
      <c r="F302" s="98">
        <v>454.5</v>
      </c>
      <c r="G302" s="98"/>
      <c r="I302" t="str">
        <f>VLOOKUP(A302,bnc_Map!A:C,3,FALSE)</f>
        <v>[BnC-6010] BnC Ingredient/Beverage/Consumable</v>
      </c>
      <c r="J302" s="19">
        <v>463473.01</v>
      </c>
      <c r="L302" s="20"/>
    </row>
    <row r="303" spans="1:12" x14ac:dyDescent="0.45">
      <c r="A303" s="97" t="s">
        <v>583</v>
      </c>
      <c r="B303" s="97" t="s">
        <v>584</v>
      </c>
      <c r="C303" s="97" t="s">
        <v>0</v>
      </c>
      <c r="D303" s="128">
        <v>4142</v>
      </c>
      <c r="E303" s="128"/>
      <c r="F303" s="98"/>
      <c r="G303" s="98"/>
      <c r="I303" t="str">
        <f>VLOOKUP(A303,bnc_Map!A:C,3,FALSE)</f>
        <v>[BnC-6010] BnC Ingredient/Beverage/Consumable</v>
      </c>
      <c r="J303" s="19">
        <v>-455537</v>
      </c>
      <c r="L303" s="20"/>
    </row>
    <row r="304" spans="1:12" x14ac:dyDescent="0.45">
      <c r="A304" s="97" t="s">
        <v>585</v>
      </c>
      <c r="B304" s="97" t="s">
        <v>586</v>
      </c>
      <c r="C304" s="97" t="s">
        <v>0</v>
      </c>
      <c r="D304" s="128">
        <v>2426</v>
      </c>
      <c r="E304" s="128"/>
      <c r="F304" s="98">
        <v>312.5</v>
      </c>
      <c r="G304" s="98"/>
      <c r="I304" t="str">
        <f>VLOOKUP(A304,bnc_Map!A:C,3,FALSE)</f>
        <v>[BnC-6010] BnC Ingredient/Beverage/Consumable</v>
      </c>
      <c r="J304" s="19">
        <v>462105</v>
      </c>
      <c r="L304" s="20"/>
    </row>
    <row r="305" spans="1:12" x14ac:dyDescent="0.45">
      <c r="A305" s="97" t="s">
        <v>587</v>
      </c>
      <c r="B305" s="97" t="s">
        <v>588</v>
      </c>
      <c r="C305" s="97" t="s">
        <v>0</v>
      </c>
      <c r="D305" s="128">
        <v>3435.51</v>
      </c>
      <c r="E305" s="128"/>
      <c r="F305" s="98">
        <v>400.5</v>
      </c>
      <c r="G305" s="98"/>
      <c r="I305" t="str">
        <f>VLOOKUP(A305,bnc_Map!A:C,3,FALSE)</f>
        <v>[BnC-6010] BnC Ingredient/Beverage/Consumable</v>
      </c>
      <c r="J305" s="19">
        <v>-456243.49</v>
      </c>
      <c r="L305" s="20"/>
    </row>
    <row r="306" spans="1:12" x14ac:dyDescent="0.45">
      <c r="A306" s="97" t="s">
        <v>589</v>
      </c>
      <c r="B306" s="97" t="s">
        <v>590</v>
      </c>
      <c r="C306" s="97" t="s">
        <v>0</v>
      </c>
      <c r="D306" s="128">
        <v>7737.5</v>
      </c>
      <c r="E306" s="128"/>
      <c r="F306" s="98">
        <v>417.5</v>
      </c>
      <c r="G306" s="98"/>
      <c r="I306" t="str">
        <f>VLOOKUP(A306,bnc_Map!A:C,3,FALSE)</f>
        <v>[BnC-6010] BnC Ingredient/Beverage/Consumable</v>
      </c>
      <c r="J306" s="19">
        <v>467416.5</v>
      </c>
      <c r="L306" s="20"/>
    </row>
    <row r="307" spans="1:12" x14ac:dyDescent="0.45">
      <c r="A307" s="97" t="s">
        <v>591</v>
      </c>
      <c r="B307" s="97" t="s">
        <v>592</v>
      </c>
      <c r="C307" s="97" t="s">
        <v>0</v>
      </c>
      <c r="D307" s="128">
        <v>2726.96</v>
      </c>
      <c r="E307" s="128"/>
      <c r="F307" s="98">
        <v>235</v>
      </c>
      <c r="G307" s="98"/>
      <c r="I307" t="str">
        <f>VLOOKUP(A307,bnc_Map!A:C,3,FALSE)</f>
        <v>[BnC-6010] BnC Ingredient/Beverage/Consumable</v>
      </c>
      <c r="J307" s="19">
        <v>-456952.04</v>
      </c>
      <c r="L307" s="20"/>
    </row>
    <row r="308" spans="1:12" x14ac:dyDescent="0.45">
      <c r="A308" s="97" t="s">
        <v>593</v>
      </c>
      <c r="B308" s="97" t="s">
        <v>594</v>
      </c>
      <c r="C308" s="97" t="s">
        <v>0</v>
      </c>
      <c r="D308" s="128">
        <v>797</v>
      </c>
      <c r="E308" s="128"/>
      <c r="F308" s="98">
        <v>341</v>
      </c>
      <c r="G308" s="98"/>
      <c r="I308" t="str">
        <f>VLOOKUP(A308,bnc_Map!A:C,3,FALSE)</f>
        <v>[BnC-6010] BnC Ingredient/Beverage/Consumable</v>
      </c>
      <c r="J308" s="19">
        <v>460476</v>
      </c>
      <c r="L308" s="20"/>
    </row>
    <row r="309" spans="1:12" x14ac:dyDescent="0.45">
      <c r="A309" s="97" t="s">
        <v>595</v>
      </c>
      <c r="B309" s="97" t="s">
        <v>596</v>
      </c>
      <c r="C309" s="97" t="s">
        <v>0</v>
      </c>
      <c r="D309" s="128">
        <v>59544.34</v>
      </c>
      <c r="E309" s="128"/>
      <c r="F309" s="98">
        <v>5012.6400000000003</v>
      </c>
      <c r="G309" s="98"/>
      <c r="I309" t="str">
        <f>VLOOKUP(A309,bnc_Map!A:C,3,FALSE)</f>
        <v>[BnC-6010] BnC Ingredient/Beverage/Consumable</v>
      </c>
      <c r="J309" s="19">
        <v>-400134.66000000003</v>
      </c>
      <c r="L309" s="20"/>
    </row>
    <row r="310" spans="1:12" x14ac:dyDescent="0.45">
      <c r="A310" s="97" t="s">
        <v>597</v>
      </c>
      <c r="B310" s="97" t="s">
        <v>598</v>
      </c>
      <c r="C310" s="97" t="s">
        <v>0</v>
      </c>
      <c r="D310" s="128">
        <v>48677.1</v>
      </c>
      <c r="E310" s="128"/>
      <c r="F310" s="98">
        <v>4530.49</v>
      </c>
      <c r="G310" s="98"/>
      <c r="I310" t="str">
        <f>VLOOKUP(A310,bnc_Map!A:C,3,FALSE)</f>
        <v>[BnC-6010] BnC Ingredient/Beverage/Consumable</v>
      </c>
      <c r="J310" s="19">
        <v>508356.1</v>
      </c>
      <c r="L310" s="20"/>
    </row>
    <row r="311" spans="1:12" x14ac:dyDescent="0.45">
      <c r="A311" s="97" t="s">
        <v>599</v>
      </c>
      <c r="B311" s="97" t="s">
        <v>600</v>
      </c>
      <c r="C311" s="97" t="s">
        <v>0</v>
      </c>
      <c r="D311" s="128">
        <v>13773.37</v>
      </c>
      <c r="E311" s="128"/>
      <c r="F311" s="98">
        <v>1571.54</v>
      </c>
      <c r="G311" s="98"/>
      <c r="I311" t="str">
        <f>VLOOKUP(A311,bnc_Map!A:C,3,FALSE)</f>
        <v>[BnC-6010] BnC Ingredient/Beverage/Consumable</v>
      </c>
      <c r="J311" s="19">
        <v>-445905.63</v>
      </c>
      <c r="L311" s="20"/>
    </row>
    <row r="312" spans="1:12" x14ac:dyDescent="0.45">
      <c r="A312" s="97" t="s">
        <v>601</v>
      </c>
      <c r="B312" s="97" t="s">
        <v>602</v>
      </c>
      <c r="C312" s="97" t="s">
        <v>0</v>
      </c>
      <c r="D312" s="128">
        <v>34955.96</v>
      </c>
      <c r="E312" s="128"/>
      <c r="F312" s="98">
        <v>3307.25</v>
      </c>
      <c r="G312" s="98"/>
      <c r="I312" t="str">
        <f>VLOOKUP(A312,bnc_Map!A:C,3,FALSE)</f>
        <v>[BnC-6010] BnC Ingredient/Beverage/Consumable</v>
      </c>
      <c r="J312" s="19">
        <v>494634.96</v>
      </c>
      <c r="L312" s="20"/>
    </row>
    <row r="313" spans="1:12" x14ac:dyDescent="0.45">
      <c r="A313" s="97" t="s">
        <v>603</v>
      </c>
      <c r="B313" s="97" t="s">
        <v>604</v>
      </c>
      <c r="C313" s="97" t="s">
        <v>0</v>
      </c>
      <c r="D313" s="128">
        <v>24182.1</v>
      </c>
      <c r="E313" s="128"/>
      <c r="F313" s="98">
        <v>2224.4699999999998</v>
      </c>
      <c r="G313" s="98"/>
      <c r="I313" t="str">
        <f>VLOOKUP(A313,bnc_Map!A:C,3,FALSE)</f>
        <v>[BnC-6010] BnC Ingredient/Beverage/Consumable</v>
      </c>
      <c r="J313" s="19">
        <v>-435496.9</v>
      </c>
      <c r="L313" s="20"/>
    </row>
    <row r="314" spans="1:12" x14ac:dyDescent="0.45">
      <c r="A314" s="97" t="s">
        <v>605</v>
      </c>
      <c r="B314" s="97" t="s">
        <v>606</v>
      </c>
      <c r="C314" s="97" t="s">
        <v>0</v>
      </c>
      <c r="D314" s="128">
        <v>34699.730000000003</v>
      </c>
      <c r="E314" s="128"/>
      <c r="F314" s="98">
        <v>2625.54</v>
      </c>
      <c r="G314" s="98"/>
      <c r="I314" t="str">
        <f>VLOOKUP(A314,bnc_Map!A:C,3,FALSE)</f>
        <v>[BnC-6010] BnC Ingredient/Beverage/Consumable</v>
      </c>
      <c r="J314" s="19">
        <v>494378.73</v>
      </c>
      <c r="L314" s="20"/>
    </row>
    <row r="315" spans="1:12" x14ac:dyDescent="0.45">
      <c r="A315" s="97" t="s">
        <v>607</v>
      </c>
      <c r="B315" s="97" t="s">
        <v>608</v>
      </c>
      <c r="C315" s="97" t="s">
        <v>0</v>
      </c>
      <c r="D315" s="128">
        <v>28124.82</v>
      </c>
      <c r="E315" s="128"/>
      <c r="F315" s="98">
        <v>2802.53</v>
      </c>
      <c r="G315" s="98"/>
      <c r="I315" t="str">
        <f>VLOOKUP(A315,bnc_Map!A:C,3,FALSE)</f>
        <v>[BnC-6010] BnC Ingredient/Beverage/Consumable</v>
      </c>
      <c r="J315" s="19">
        <v>-431554.18</v>
      </c>
      <c r="L315" s="20"/>
    </row>
    <row r="316" spans="1:12" x14ac:dyDescent="0.45">
      <c r="A316" s="97" t="s">
        <v>609</v>
      </c>
      <c r="B316" s="97" t="s">
        <v>610</v>
      </c>
      <c r="C316" s="97" t="s">
        <v>0</v>
      </c>
      <c r="D316" s="128">
        <v>36639.699999999997</v>
      </c>
      <c r="E316" s="128"/>
      <c r="F316" s="98">
        <v>3911.79</v>
      </c>
      <c r="G316" s="98"/>
      <c r="I316" t="str">
        <f>VLOOKUP(A316,bnc_Map!A:C,3,FALSE)</f>
        <v>[BnC-6010] BnC Ingredient/Beverage/Consumable</v>
      </c>
      <c r="J316" s="19">
        <v>496318.7</v>
      </c>
      <c r="L316" s="20"/>
    </row>
    <row r="317" spans="1:12" x14ac:dyDescent="0.45">
      <c r="A317" s="97" t="s">
        <v>611</v>
      </c>
      <c r="B317" s="97" t="s">
        <v>612</v>
      </c>
      <c r="C317" s="97" t="s">
        <v>0</v>
      </c>
      <c r="D317" s="128">
        <v>63001.45</v>
      </c>
      <c r="E317" s="128"/>
      <c r="F317" s="98">
        <v>6474.78</v>
      </c>
      <c r="G317" s="98"/>
      <c r="I317" t="str">
        <f>VLOOKUP(A317,bnc_Map!A:C,3,FALSE)</f>
        <v>[BnC-6010] BnC Ingredient/Beverage/Consumable</v>
      </c>
      <c r="J317" s="19">
        <v>-396677.55</v>
      </c>
      <c r="L317" s="20"/>
    </row>
    <row r="318" spans="1:12" x14ac:dyDescent="0.45">
      <c r="A318" s="97" t="s">
        <v>613</v>
      </c>
      <c r="B318" s="97" t="s">
        <v>614</v>
      </c>
      <c r="C318" s="97" t="s">
        <v>0</v>
      </c>
      <c r="D318" s="128">
        <v>24745.599999999999</v>
      </c>
      <c r="E318" s="128"/>
      <c r="F318" s="98">
        <v>3060.1</v>
      </c>
      <c r="G318" s="98"/>
      <c r="I318" t="str">
        <f>VLOOKUP(A318,bnc_Map!A:C,3,FALSE)</f>
        <v>[BnC-6010] BnC Ingredient/Beverage/Consumable</v>
      </c>
      <c r="J318" s="19">
        <v>484424.6</v>
      </c>
      <c r="L318" s="20"/>
    </row>
    <row r="319" spans="1:12" x14ac:dyDescent="0.45">
      <c r="A319" s="97" t="s">
        <v>615</v>
      </c>
      <c r="B319" s="97" t="s">
        <v>616</v>
      </c>
      <c r="C319" s="97" t="s">
        <v>0</v>
      </c>
      <c r="D319" s="128">
        <v>6281.58</v>
      </c>
      <c r="E319" s="128"/>
      <c r="F319" s="98">
        <v>2601.0700000000002</v>
      </c>
      <c r="G319" s="98"/>
      <c r="I319" t="str">
        <f>VLOOKUP(A319,bnc_Map!A:C,3,FALSE)</f>
        <v>[BnC-6010] BnC Ingredient/Beverage/Consumable</v>
      </c>
      <c r="J319" s="19">
        <v>-453397.42</v>
      </c>
      <c r="L319" s="20"/>
    </row>
    <row r="320" spans="1:12" x14ac:dyDescent="0.45">
      <c r="A320" s="97" t="s">
        <v>617</v>
      </c>
      <c r="B320" s="97" t="s">
        <v>618</v>
      </c>
      <c r="C320" s="97" t="s">
        <v>0</v>
      </c>
      <c r="D320" s="128">
        <v>364244.7</v>
      </c>
      <c r="E320" s="128"/>
      <c r="F320" s="98">
        <v>32817.910000000003</v>
      </c>
      <c r="G320" s="98"/>
      <c r="I320" t="str">
        <f>VLOOKUP(A320,bnc_Map!A:C,3,FALSE)</f>
        <v>[BnC-6010] BnC Ingredient/Beverage/Consumable</v>
      </c>
      <c r="J320" s="19">
        <v>823923.7</v>
      </c>
      <c r="L320" s="20"/>
    </row>
    <row r="321" spans="1:12" x14ac:dyDescent="0.45">
      <c r="A321" s="97" t="s">
        <v>619</v>
      </c>
      <c r="B321" s="97" t="s">
        <v>620</v>
      </c>
      <c r="C321" s="97" t="s">
        <v>0</v>
      </c>
      <c r="D321" s="128">
        <v>3899.25</v>
      </c>
      <c r="E321" s="128"/>
      <c r="F321" s="98"/>
      <c r="G321" s="98"/>
      <c r="I321" t="str">
        <f>VLOOKUP(A321,bnc_Map!A:C,3,FALSE)</f>
        <v>[BnC-6010] BnC Ingredient/Beverage/Consumable</v>
      </c>
      <c r="J321" s="19">
        <v>-455779.75</v>
      </c>
      <c r="L321" s="20"/>
    </row>
    <row r="322" spans="1:12" x14ac:dyDescent="0.45">
      <c r="A322" s="97" t="s">
        <v>621</v>
      </c>
      <c r="B322" s="97" t="s">
        <v>622</v>
      </c>
      <c r="C322" s="97" t="s">
        <v>0</v>
      </c>
      <c r="D322" s="128">
        <v>176032.26</v>
      </c>
      <c r="E322" s="128"/>
      <c r="F322" s="98">
        <v>15570</v>
      </c>
      <c r="G322" s="98"/>
      <c r="I322" t="str">
        <f>VLOOKUP(A322,bnc_Map!A:C,3,FALSE)</f>
        <v>[BnC-6010] BnC Ingredient/Beverage/Consumable</v>
      </c>
      <c r="J322" s="19">
        <v>635711.26</v>
      </c>
      <c r="L322" s="20"/>
    </row>
    <row r="323" spans="1:12" x14ac:dyDescent="0.45">
      <c r="A323" s="97" t="s">
        <v>623</v>
      </c>
      <c r="B323" s="97" t="s">
        <v>624</v>
      </c>
      <c r="C323" s="97" t="s">
        <v>0</v>
      </c>
      <c r="D323" s="128">
        <v>37279.68</v>
      </c>
      <c r="E323" s="128"/>
      <c r="F323" s="98">
        <v>3036.9</v>
      </c>
      <c r="G323" s="98"/>
      <c r="I323" t="str">
        <f>VLOOKUP(A323,bnc_Map!A:C,3,FALSE)</f>
        <v>[BnC-6010] BnC Ingredient/Beverage/Consumable</v>
      </c>
      <c r="J323" s="19">
        <v>-422399.32</v>
      </c>
      <c r="L323" s="20"/>
    </row>
    <row r="324" spans="1:12" x14ac:dyDescent="0.45">
      <c r="A324" s="97" t="s">
        <v>625</v>
      </c>
      <c r="B324" s="97" t="s">
        <v>626</v>
      </c>
      <c r="C324" s="97" t="s">
        <v>0</v>
      </c>
      <c r="D324" s="128">
        <v>42133.8</v>
      </c>
      <c r="E324" s="128"/>
      <c r="F324" s="98">
        <v>1700</v>
      </c>
      <c r="G324" s="98"/>
      <c r="I324" t="str">
        <f>VLOOKUP(A324,bnc_Map!A:C,3,FALSE)</f>
        <v>[BnC-6010] BnC Ingredient/Beverage/Consumable</v>
      </c>
      <c r="J324" s="19">
        <v>501812.8</v>
      </c>
      <c r="L324" s="20"/>
    </row>
    <row r="325" spans="1:12" x14ac:dyDescent="0.45">
      <c r="A325" s="132" t="s">
        <v>627</v>
      </c>
      <c r="B325" s="132" t="s">
        <v>628</v>
      </c>
      <c r="C325" s="132" t="s">
        <v>0</v>
      </c>
      <c r="D325" s="133">
        <v>500000</v>
      </c>
      <c r="E325" s="133"/>
      <c r="F325" s="133"/>
      <c r="G325" s="133"/>
      <c r="H325" s="134"/>
      <c r="I325" s="134" t="str">
        <f>VLOOKUP(A325,bnc_Map!A:C,3,FALSE)</f>
        <v>[BnC-7000] BnC Dividend Paid</v>
      </c>
      <c r="J325" s="135">
        <v>40321</v>
      </c>
      <c r="L325" s="20"/>
    </row>
    <row r="326" spans="1:12" x14ac:dyDescent="0.45">
      <c r="A326" s="97" t="s">
        <v>629</v>
      </c>
      <c r="B326" s="97" t="s">
        <v>630</v>
      </c>
      <c r="C326" s="97" t="s">
        <v>0</v>
      </c>
      <c r="D326" s="128">
        <v>59224</v>
      </c>
      <c r="E326" s="128"/>
      <c r="F326" s="98">
        <v>9862.08</v>
      </c>
      <c r="G326" s="98"/>
      <c r="I326" t="str">
        <f>VLOOKUP(A326,bnc_Map!A:C,3,FALSE)</f>
        <v>[BnC-9A02] BnC Advertisement</v>
      </c>
      <c r="J326" s="19">
        <v>518903</v>
      </c>
      <c r="L326" s="20"/>
    </row>
    <row r="327" spans="1:12" x14ac:dyDescent="0.45">
      <c r="A327" s="97" t="s">
        <v>631</v>
      </c>
      <c r="B327" s="97" t="s">
        <v>632</v>
      </c>
      <c r="C327" s="97" t="s">
        <v>0</v>
      </c>
      <c r="D327" s="128">
        <v>16016.91</v>
      </c>
      <c r="E327" s="128"/>
      <c r="F327" s="98">
        <v>538.04999999999995</v>
      </c>
      <c r="G327" s="98"/>
      <c r="I327" t="str">
        <f>VLOOKUP(A327,bnc_Map!A:C,3,FALSE)</f>
        <v>[BnC-9B01] BnC Bank Charges</v>
      </c>
      <c r="J327" s="19">
        <v>-443662.09</v>
      </c>
      <c r="L327" s="20"/>
    </row>
    <row r="328" spans="1:12" x14ac:dyDescent="0.45">
      <c r="A328" s="97" t="s">
        <v>633</v>
      </c>
      <c r="B328" s="97" t="s">
        <v>634</v>
      </c>
      <c r="C328" s="97" t="s">
        <v>0</v>
      </c>
      <c r="D328" s="128">
        <v>14484.85</v>
      </c>
      <c r="E328" s="128"/>
      <c r="F328" s="98">
        <v>1053.3800000000001</v>
      </c>
      <c r="G328" s="98"/>
      <c r="I328" t="str">
        <f>VLOOKUP(A328,bnc_Map!A:C,3,FALSE)</f>
        <v>[BnC-9B04] BnC Paypal Charges</v>
      </c>
      <c r="J328" s="19">
        <v>474163.85</v>
      </c>
      <c r="L328" s="20"/>
    </row>
    <row r="329" spans="1:12" x14ac:dyDescent="0.45">
      <c r="A329" s="97" t="s">
        <v>635</v>
      </c>
      <c r="B329" s="97" t="s">
        <v>636</v>
      </c>
      <c r="C329" s="97" t="s">
        <v>0</v>
      </c>
      <c r="D329" s="128">
        <v>3871.03</v>
      </c>
      <c r="E329" s="128"/>
      <c r="F329" s="98">
        <v>1494.23</v>
      </c>
      <c r="G329" s="98"/>
      <c r="I329" t="str">
        <f>VLOOKUP(A329,bnc_Map!A:C,3,FALSE)</f>
        <v>[BnC-9B04] BnC Paypal Charges</v>
      </c>
      <c r="J329" s="19">
        <v>-455807.97</v>
      </c>
      <c r="L329" s="20"/>
    </row>
    <row r="330" spans="1:12" x14ac:dyDescent="0.45">
      <c r="A330" s="97" t="s">
        <v>637</v>
      </c>
      <c r="B330" s="97" t="s">
        <v>638</v>
      </c>
      <c r="C330" s="97" t="s">
        <v>0</v>
      </c>
      <c r="D330" s="128">
        <v>26136.560000000001</v>
      </c>
      <c r="E330" s="128"/>
      <c r="F330" s="98">
        <v>2683.96</v>
      </c>
      <c r="G330" s="98"/>
      <c r="I330" t="str">
        <f>VLOOKUP(A330,bnc_Map!A:C,3,FALSE)</f>
        <v>[BnC-9C01] BnC Credit Card Charges</v>
      </c>
      <c r="J330" s="19">
        <v>485815.56</v>
      </c>
      <c r="L330" s="20"/>
    </row>
    <row r="331" spans="1:12" x14ac:dyDescent="0.45">
      <c r="A331" s="97" t="s">
        <v>639</v>
      </c>
      <c r="B331" s="97" t="s">
        <v>640</v>
      </c>
      <c r="C331" s="97" t="s">
        <v>0</v>
      </c>
      <c r="D331" s="128">
        <v>34999.96</v>
      </c>
      <c r="E331" s="128"/>
      <c r="F331" s="98">
        <v>7505.65</v>
      </c>
      <c r="G331" s="98"/>
      <c r="I331" t="str">
        <f>VLOOKUP(A331,bnc_Map!A:C,3,FALSE)</f>
        <v>[BnC-9C01] BnC Credit Card Charges</v>
      </c>
      <c r="J331" s="19">
        <v>-424679.04</v>
      </c>
      <c r="L331" s="20"/>
    </row>
    <row r="332" spans="1:12" x14ac:dyDescent="0.45">
      <c r="A332" s="97" t="s">
        <v>641</v>
      </c>
      <c r="B332" s="97" t="s">
        <v>642</v>
      </c>
      <c r="C332" s="97" t="s">
        <v>0</v>
      </c>
      <c r="D332" s="128">
        <v>3899.64</v>
      </c>
      <c r="E332" s="128"/>
      <c r="F332" s="98">
        <v>616.42999999999995</v>
      </c>
      <c r="G332" s="98"/>
      <c r="I332" t="str">
        <f>VLOOKUP(A332,bnc_Map!A:C,3,FALSE)</f>
        <v>[BnC-9C01] BnC Credit Card Charges</v>
      </c>
      <c r="J332" s="19">
        <v>463578.64</v>
      </c>
      <c r="L332" s="20"/>
    </row>
    <row r="333" spans="1:12" x14ac:dyDescent="0.45">
      <c r="A333" s="97" t="s">
        <v>643</v>
      </c>
      <c r="B333" s="97" t="s">
        <v>644</v>
      </c>
      <c r="C333" s="97" t="s">
        <v>0</v>
      </c>
      <c r="D333" s="128">
        <v>31958.42</v>
      </c>
      <c r="E333" s="128"/>
      <c r="F333" s="98">
        <v>4498.3</v>
      </c>
      <c r="G333" s="98"/>
      <c r="I333" t="str">
        <f>VLOOKUP(A333,bnc_Map!A:C,3,FALSE)</f>
        <v>[BnC-9C01] BnC Credit Card Charges</v>
      </c>
      <c r="J333" s="19">
        <v>-427720.58</v>
      </c>
      <c r="L333" s="20"/>
    </row>
    <row r="334" spans="1:12" x14ac:dyDescent="0.45">
      <c r="A334" s="97" t="s">
        <v>645</v>
      </c>
      <c r="B334" s="97" t="s">
        <v>646</v>
      </c>
      <c r="C334" s="97" t="s">
        <v>0</v>
      </c>
      <c r="D334" s="128">
        <v>11767.37</v>
      </c>
      <c r="E334" s="128"/>
      <c r="F334" s="98">
        <v>1404.86</v>
      </c>
      <c r="G334" s="98"/>
      <c r="I334" t="str">
        <f>VLOOKUP(A334,bnc_Map!A:C,3,FALSE)</f>
        <v>[BnC-9C01] BnC Credit Card Charges</v>
      </c>
      <c r="J334" s="19">
        <v>471446.37</v>
      </c>
      <c r="L334" s="20"/>
    </row>
    <row r="335" spans="1:12" x14ac:dyDescent="0.45">
      <c r="A335" s="97" t="s">
        <v>647</v>
      </c>
      <c r="B335" s="97" t="s">
        <v>648</v>
      </c>
      <c r="C335" s="97" t="s">
        <v>0</v>
      </c>
      <c r="D335" s="128">
        <v>19940.12</v>
      </c>
      <c r="E335" s="128"/>
      <c r="F335" s="98">
        <v>2081.44</v>
      </c>
      <c r="G335" s="98"/>
      <c r="I335" t="str">
        <f>VLOOKUP(A335,bnc_Map!A:C,3,FALSE)</f>
        <v>[BnC-9C01] BnC Credit Card Charges</v>
      </c>
      <c r="J335" s="19">
        <v>-439738.88</v>
      </c>
      <c r="L335" s="20"/>
    </row>
    <row r="336" spans="1:12" x14ac:dyDescent="0.45">
      <c r="A336" s="97" t="s">
        <v>649</v>
      </c>
      <c r="B336" s="97" t="s">
        <v>650</v>
      </c>
      <c r="C336" s="97" t="s">
        <v>0</v>
      </c>
      <c r="D336" s="128">
        <v>2272.9499999999998</v>
      </c>
      <c r="E336" s="128"/>
      <c r="F336" s="98">
        <v>334.98</v>
      </c>
      <c r="G336" s="98"/>
      <c r="I336" t="str">
        <f>VLOOKUP(A336,bnc_Map!A:C,3,FALSE)</f>
        <v>[BnC-9C01] BnC Credit Card Charges</v>
      </c>
      <c r="J336" s="19">
        <v>461951.95</v>
      </c>
      <c r="L336" s="20"/>
    </row>
    <row r="337" spans="1:12" x14ac:dyDescent="0.45">
      <c r="A337" s="97" t="s">
        <v>651</v>
      </c>
      <c r="B337" s="97" t="s">
        <v>652</v>
      </c>
      <c r="C337" s="97" t="s">
        <v>0</v>
      </c>
      <c r="D337" s="128">
        <v>3761.48</v>
      </c>
      <c r="E337" s="128"/>
      <c r="F337" s="98">
        <v>252.23</v>
      </c>
      <c r="G337" s="98"/>
      <c r="I337" t="str">
        <f>VLOOKUP(A337,bnc_Map!A:C,3,FALSE)</f>
        <v>[BnC-9C01] BnC Credit Card Charges</v>
      </c>
      <c r="J337" s="19">
        <v>-455917.52</v>
      </c>
      <c r="L337" s="20"/>
    </row>
    <row r="338" spans="1:12" x14ac:dyDescent="0.45">
      <c r="A338" s="97" t="s">
        <v>653</v>
      </c>
      <c r="B338" s="97" t="s">
        <v>654</v>
      </c>
      <c r="C338" s="97" t="s">
        <v>0</v>
      </c>
      <c r="D338" s="128">
        <v>17454.32</v>
      </c>
      <c r="E338" s="128"/>
      <c r="F338" s="98">
        <v>2309.9299999999998</v>
      </c>
      <c r="G338" s="98"/>
      <c r="I338" t="str">
        <f>VLOOKUP(A338,bnc_Map!A:C,3,FALSE)</f>
        <v>[BnC-9C01] BnC Credit Card Charges</v>
      </c>
      <c r="J338" s="19">
        <v>477133.32</v>
      </c>
      <c r="L338" s="20"/>
    </row>
    <row r="339" spans="1:12" x14ac:dyDescent="0.45">
      <c r="A339" s="97" t="s">
        <v>655</v>
      </c>
      <c r="B339" s="97" t="s">
        <v>656</v>
      </c>
      <c r="C339" s="97" t="s">
        <v>0</v>
      </c>
      <c r="D339" s="128">
        <v>27160.06</v>
      </c>
      <c r="E339" s="128"/>
      <c r="F339" s="98">
        <v>4446.1000000000004</v>
      </c>
      <c r="G339" s="98"/>
      <c r="I339" t="str">
        <f>VLOOKUP(A339,bnc_Map!A:C,3,FALSE)</f>
        <v>[BnC-9C01] BnC Credit Card Charges</v>
      </c>
      <c r="J339" s="19">
        <v>-432518.94</v>
      </c>
      <c r="L339" s="20"/>
    </row>
    <row r="340" spans="1:12" x14ac:dyDescent="0.45">
      <c r="A340" s="97" t="s">
        <v>657</v>
      </c>
      <c r="B340" s="97" t="s">
        <v>658</v>
      </c>
      <c r="C340" s="97" t="s">
        <v>0</v>
      </c>
      <c r="D340" s="128">
        <v>54553.22</v>
      </c>
      <c r="E340" s="128"/>
      <c r="F340" s="98">
        <v>9493.6</v>
      </c>
      <c r="G340" s="98"/>
      <c r="I340" t="str">
        <f>VLOOKUP(A340,bnc_Map!A:C,3,FALSE)</f>
        <v>[BnC-9C01] BnC Credit Card Charges</v>
      </c>
      <c r="J340" s="19">
        <v>514232.22</v>
      </c>
      <c r="L340" s="20"/>
    </row>
    <row r="341" spans="1:12" x14ac:dyDescent="0.45">
      <c r="A341" s="97" t="s">
        <v>659</v>
      </c>
      <c r="B341" s="97" t="s">
        <v>660</v>
      </c>
      <c r="C341" s="97" t="s">
        <v>0</v>
      </c>
      <c r="D341" s="128">
        <v>15138.62</v>
      </c>
      <c r="E341" s="128"/>
      <c r="F341" s="98">
        <v>2126.9</v>
      </c>
      <c r="G341" s="98"/>
      <c r="I341" t="str">
        <f>VLOOKUP(A341,bnc_Map!A:C,3,FALSE)</f>
        <v>[BnC-9C01] BnC Credit Card Charges</v>
      </c>
      <c r="J341" s="19">
        <v>-444540.38</v>
      </c>
      <c r="L341" s="20"/>
    </row>
    <row r="342" spans="1:12" x14ac:dyDescent="0.45">
      <c r="A342" s="97" t="s">
        <v>661</v>
      </c>
      <c r="B342" s="97" t="s">
        <v>662</v>
      </c>
      <c r="C342" s="97" t="s">
        <v>0</v>
      </c>
      <c r="D342" s="128">
        <v>4228.95</v>
      </c>
      <c r="E342" s="128"/>
      <c r="F342" s="98">
        <v>2282.52</v>
      </c>
      <c r="G342" s="98"/>
      <c r="I342" t="str">
        <f>VLOOKUP(A342,bnc_Map!A:C,3,FALSE)</f>
        <v>[BnC-9C01] BnC Credit Card Charges</v>
      </c>
      <c r="J342" s="19">
        <v>463907.95</v>
      </c>
      <c r="L342" s="20"/>
    </row>
    <row r="343" spans="1:12" x14ac:dyDescent="0.45">
      <c r="A343" s="97" t="s">
        <v>663</v>
      </c>
      <c r="B343" s="97" t="s">
        <v>664</v>
      </c>
      <c r="C343" s="97" t="s">
        <v>0</v>
      </c>
      <c r="D343" s="128">
        <v>44360</v>
      </c>
      <c r="E343" s="128"/>
      <c r="F343" s="98">
        <v>3800</v>
      </c>
      <c r="G343" s="98"/>
      <c r="I343" t="str">
        <f>VLOOKUP(A343,bnc_Map!A:C,3,FALSE)</f>
        <v>[BnC-9C03] BnC Cleaning Contractor</v>
      </c>
      <c r="J343" s="19">
        <v>-415319</v>
      </c>
      <c r="L343" s="20"/>
    </row>
    <row r="344" spans="1:12" x14ac:dyDescent="0.45">
      <c r="A344" s="97" t="s">
        <v>665</v>
      </c>
      <c r="B344" s="97" t="s">
        <v>666</v>
      </c>
      <c r="C344" s="97" t="s">
        <v>0</v>
      </c>
      <c r="D344" s="128">
        <v>35052</v>
      </c>
      <c r="E344" s="128"/>
      <c r="F344" s="98"/>
      <c r="G344" s="98"/>
      <c r="I344" t="str">
        <f>VLOOKUP(A344,bnc_Map!A:C,3,FALSE)</f>
        <v>[BnC-9C03] BnC Cleaning Contractor</v>
      </c>
      <c r="J344" s="19">
        <v>494731</v>
      </c>
      <c r="L344" s="20"/>
    </row>
    <row r="345" spans="1:12" x14ac:dyDescent="0.45">
      <c r="A345" s="97" t="s">
        <v>667</v>
      </c>
      <c r="B345" s="97" t="s">
        <v>668</v>
      </c>
      <c r="C345" s="97" t="s">
        <v>0</v>
      </c>
      <c r="D345" s="128">
        <v>44100</v>
      </c>
      <c r="E345" s="128"/>
      <c r="F345" s="98">
        <v>3700</v>
      </c>
      <c r="G345" s="98"/>
      <c r="I345" t="str">
        <f>VLOOKUP(A345,bnc_Map!A:C,3,FALSE)</f>
        <v>[BnC-9C03] BnC Cleaning Contractor</v>
      </c>
      <c r="J345" s="19">
        <v>-415579</v>
      </c>
      <c r="L345" s="20"/>
    </row>
    <row r="346" spans="1:12" x14ac:dyDescent="0.45">
      <c r="A346" s="97" t="s">
        <v>669</v>
      </c>
      <c r="B346" s="97" t="s">
        <v>670</v>
      </c>
      <c r="C346" s="97" t="s">
        <v>0</v>
      </c>
      <c r="D346" s="128">
        <v>23810</v>
      </c>
      <c r="E346" s="128"/>
      <c r="F346" s="98">
        <v>2240</v>
      </c>
      <c r="G346" s="98"/>
      <c r="I346" t="str">
        <f>VLOOKUP(A346,bnc_Map!A:C,3,FALSE)</f>
        <v>[BnC-9C03] BnC Cleaning Contractor</v>
      </c>
      <c r="J346" s="19">
        <v>483489</v>
      </c>
      <c r="L346" s="20"/>
    </row>
    <row r="347" spans="1:12" x14ac:dyDescent="0.45">
      <c r="A347" s="97" t="s">
        <v>671</v>
      </c>
      <c r="B347" s="97" t="s">
        <v>672</v>
      </c>
      <c r="C347" s="97" t="s">
        <v>0</v>
      </c>
      <c r="D347" s="128">
        <v>447.15</v>
      </c>
      <c r="E347" s="128"/>
      <c r="F347" s="98"/>
      <c r="G347" s="98"/>
      <c r="I347" t="str">
        <f>VLOOKUP(A347,bnc_Map!A:C,3,FALSE)</f>
        <v>[BnC-9C03] BnC Cleaning Contractor</v>
      </c>
      <c r="J347" s="19">
        <v>-459231.85</v>
      </c>
      <c r="L347" s="20"/>
    </row>
    <row r="348" spans="1:12" x14ac:dyDescent="0.45">
      <c r="A348" s="97" t="s">
        <v>673</v>
      </c>
      <c r="B348" s="97" t="s">
        <v>674</v>
      </c>
      <c r="C348" s="97" t="s">
        <v>0</v>
      </c>
      <c r="D348" s="128">
        <v>23660</v>
      </c>
      <c r="E348" s="128"/>
      <c r="F348" s="98">
        <v>2240</v>
      </c>
      <c r="G348" s="98"/>
      <c r="I348" t="str">
        <f>VLOOKUP(A348,bnc_Map!A:C,3,FALSE)</f>
        <v>[BnC-9C03] BnC Cleaning Contractor</v>
      </c>
      <c r="J348" s="19">
        <v>483339</v>
      </c>
      <c r="L348" s="20"/>
    </row>
    <row r="349" spans="1:12" x14ac:dyDescent="0.45">
      <c r="A349" s="97" t="s">
        <v>675</v>
      </c>
      <c r="B349" s="97" t="s">
        <v>676</v>
      </c>
      <c r="C349" s="97" t="s">
        <v>0</v>
      </c>
      <c r="D349" s="128">
        <v>25645</v>
      </c>
      <c r="E349" s="128"/>
      <c r="F349" s="98">
        <v>2540</v>
      </c>
      <c r="G349" s="98"/>
      <c r="I349" t="str">
        <f>VLOOKUP(A349,bnc_Map!A:C,3,FALSE)</f>
        <v>[BnC-9C03] BnC Cleaning Contractor</v>
      </c>
      <c r="J349" s="19">
        <v>-434034</v>
      </c>
      <c r="L349" s="20"/>
    </row>
    <row r="350" spans="1:12" x14ac:dyDescent="0.45">
      <c r="A350" s="97" t="s">
        <v>677</v>
      </c>
      <c r="B350" s="97" t="s">
        <v>678</v>
      </c>
      <c r="C350" s="97" t="s">
        <v>0</v>
      </c>
      <c r="D350" s="128">
        <v>73162</v>
      </c>
      <c r="E350" s="128"/>
      <c r="F350" s="98">
        <v>9700</v>
      </c>
      <c r="G350" s="98"/>
      <c r="I350" t="str">
        <f>VLOOKUP(A350,bnc_Map!A:C,3,FALSE)</f>
        <v>[BnC-9C03] BnC Cleaning Contractor</v>
      </c>
      <c r="J350" s="19">
        <v>532841</v>
      </c>
      <c r="L350" s="20"/>
    </row>
    <row r="351" spans="1:12" x14ac:dyDescent="0.45">
      <c r="A351" s="97" t="s">
        <v>679</v>
      </c>
      <c r="B351" s="97" t="s">
        <v>680</v>
      </c>
      <c r="C351" s="97" t="s">
        <v>0</v>
      </c>
      <c r="D351" s="128">
        <v>23560</v>
      </c>
      <c r="E351" s="128"/>
      <c r="F351" s="98">
        <v>2240</v>
      </c>
      <c r="G351" s="98"/>
      <c r="I351" t="str">
        <f>VLOOKUP(A351,bnc_Map!A:C,3,FALSE)</f>
        <v>[BnC-9C03] BnC Cleaning Contractor</v>
      </c>
      <c r="J351" s="19">
        <v>-436119</v>
      </c>
      <c r="L351" s="20"/>
    </row>
    <row r="352" spans="1:12" x14ac:dyDescent="0.45">
      <c r="A352" s="97" t="s">
        <v>681</v>
      </c>
      <c r="B352" s="97" t="s">
        <v>682</v>
      </c>
      <c r="C352" s="97" t="s">
        <v>0</v>
      </c>
      <c r="D352" s="128">
        <v>27070</v>
      </c>
      <c r="E352" s="128"/>
      <c r="F352" s="98">
        <v>3950</v>
      </c>
      <c r="G352" s="98"/>
      <c r="I352" t="str">
        <f>VLOOKUP(A352,bnc_Map!A:C,3,FALSE)</f>
        <v>[BnC-9C03] BnC Cleaning Contractor</v>
      </c>
      <c r="J352" s="19">
        <v>486749</v>
      </c>
      <c r="L352" s="20"/>
    </row>
    <row r="353" spans="1:12" x14ac:dyDescent="0.45">
      <c r="A353" s="97" t="s">
        <v>683</v>
      </c>
      <c r="B353" s="97" t="s">
        <v>684</v>
      </c>
      <c r="C353" s="97" t="s">
        <v>0</v>
      </c>
      <c r="D353" s="128">
        <v>6240</v>
      </c>
      <c r="E353" s="128"/>
      <c r="F353" s="98">
        <v>2540</v>
      </c>
      <c r="G353" s="98"/>
      <c r="I353" t="str">
        <f>VLOOKUP(A353,bnc_Map!A:C,3,FALSE)</f>
        <v>[BnC-9C03] BnC Cleaning Contractor</v>
      </c>
      <c r="J353" s="19">
        <v>-453439</v>
      </c>
      <c r="L353" s="20"/>
    </row>
    <row r="354" spans="1:12" x14ac:dyDescent="0.45">
      <c r="A354" s="97" t="s">
        <v>685</v>
      </c>
      <c r="B354" s="97" t="s">
        <v>686</v>
      </c>
      <c r="C354" s="97" t="s">
        <v>0</v>
      </c>
      <c r="D354" s="128">
        <v>378.8</v>
      </c>
      <c r="E354" s="128"/>
      <c r="F354" s="98">
        <v>251.3</v>
      </c>
      <c r="G354" s="98"/>
      <c r="I354" t="str">
        <f>VLOOKUP(A354,bnc_Map!A:C,3,FALSE)</f>
        <v>[BnC-9C06] BnC Delivery Commission</v>
      </c>
      <c r="J354" s="19">
        <v>460057.8</v>
      </c>
      <c r="L354" s="20"/>
    </row>
    <row r="355" spans="1:12" x14ac:dyDescent="0.45">
      <c r="A355" s="97" t="s">
        <v>687</v>
      </c>
      <c r="B355" s="97" t="s">
        <v>688</v>
      </c>
      <c r="C355" s="97" t="s">
        <v>0</v>
      </c>
      <c r="D355" s="128">
        <v>157995.39000000001</v>
      </c>
      <c r="E355" s="128"/>
      <c r="F355" s="98">
        <v>13944.15</v>
      </c>
      <c r="G355" s="98"/>
      <c r="I355" t="str">
        <f>VLOOKUP(A355,bnc_Map!A:C,3,FALSE)</f>
        <v>[BnC-9C06] BnC Delivery Commission</v>
      </c>
      <c r="J355" s="19">
        <v>-301683.61</v>
      </c>
      <c r="L355" s="20"/>
    </row>
    <row r="356" spans="1:12" x14ac:dyDescent="0.45">
      <c r="A356" s="97" t="s">
        <v>689</v>
      </c>
      <c r="B356" s="97" t="s">
        <v>690</v>
      </c>
      <c r="C356" s="97" t="s">
        <v>0</v>
      </c>
      <c r="D356" s="128">
        <v>92781.86</v>
      </c>
      <c r="E356" s="128"/>
      <c r="F356" s="98">
        <v>6849.73</v>
      </c>
      <c r="G356" s="98"/>
      <c r="I356" t="str">
        <f>VLOOKUP(A356,bnc_Map!A:C,3,FALSE)</f>
        <v>[BnC-9C06] BnC Delivery Commission</v>
      </c>
      <c r="J356" s="19">
        <v>552460.86</v>
      </c>
      <c r="L356" s="20"/>
    </row>
    <row r="357" spans="1:12" x14ac:dyDescent="0.45">
      <c r="A357" s="97" t="s">
        <v>691</v>
      </c>
      <c r="B357" s="97" t="s">
        <v>692</v>
      </c>
      <c r="C357" s="97" t="s">
        <v>0</v>
      </c>
      <c r="D357" s="128">
        <v>19175.900000000001</v>
      </c>
      <c r="E357" s="128"/>
      <c r="F357" s="98">
        <v>1797.83</v>
      </c>
      <c r="G357" s="98"/>
      <c r="I357" t="str">
        <f>VLOOKUP(A357,bnc_Map!A:C,3,FALSE)</f>
        <v>[BnC-9C06] BnC Delivery Commission</v>
      </c>
      <c r="J357" s="19">
        <v>-440503.1</v>
      </c>
      <c r="L357" s="20"/>
    </row>
    <row r="358" spans="1:12" x14ac:dyDescent="0.45">
      <c r="A358" s="97" t="s">
        <v>693</v>
      </c>
      <c r="B358" s="97" t="s">
        <v>694</v>
      </c>
      <c r="C358" s="97" t="s">
        <v>0</v>
      </c>
      <c r="D358" s="128">
        <v>52009.34</v>
      </c>
      <c r="E358" s="128"/>
      <c r="F358" s="98">
        <v>18501.88</v>
      </c>
      <c r="G358" s="98"/>
      <c r="I358" t="str">
        <f>VLOOKUP(A358,bnc_Map!A:C,3,FALSE)</f>
        <v>[BnC-9C06] BnC Delivery Commission</v>
      </c>
      <c r="J358" s="19">
        <v>511688.33999999997</v>
      </c>
      <c r="L358" s="20"/>
    </row>
    <row r="359" spans="1:12" x14ac:dyDescent="0.45">
      <c r="A359" s="97" t="s">
        <v>695</v>
      </c>
      <c r="B359" s="97" t="s">
        <v>696</v>
      </c>
      <c r="C359" s="97" t="s">
        <v>0</v>
      </c>
      <c r="D359" s="128">
        <v>3380.77</v>
      </c>
      <c r="E359" s="128"/>
      <c r="F359" s="98">
        <v>260.98</v>
      </c>
      <c r="G359" s="98"/>
      <c r="I359" t="str">
        <f>VLOOKUP(A359,bnc_Map!A:C,3,FALSE)</f>
        <v>[BnC-9C06] BnC Delivery Commission</v>
      </c>
      <c r="J359" s="19">
        <v>-456298.23</v>
      </c>
      <c r="L359" s="20"/>
    </row>
    <row r="360" spans="1:12" x14ac:dyDescent="0.45">
      <c r="A360" s="97" t="s">
        <v>697</v>
      </c>
      <c r="B360" s="97" t="s">
        <v>698</v>
      </c>
      <c r="C360" s="97" t="s">
        <v>0</v>
      </c>
      <c r="D360" s="128">
        <v>28298.47</v>
      </c>
      <c r="E360" s="128"/>
      <c r="F360" s="98">
        <v>1787.54</v>
      </c>
      <c r="G360" s="98"/>
      <c r="I360" t="str">
        <f>VLOOKUP(A360,bnc_Map!A:C,3,FALSE)</f>
        <v>[BnC-9C06] BnC Delivery Commission</v>
      </c>
      <c r="J360" s="19">
        <v>487977.47</v>
      </c>
      <c r="L360" s="20"/>
    </row>
    <row r="361" spans="1:12" x14ac:dyDescent="0.45">
      <c r="A361" s="97" t="s">
        <v>699</v>
      </c>
      <c r="B361" s="97" t="s">
        <v>700</v>
      </c>
      <c r="C361" s="97" t="s">
        <v>0</v>
      </c>
      <c r="D361" s="128">
        <v>99521.69</v>
      </c>
      <c r="E361" s="128"/>
      <c r="F361" s="98">
        <v>7126.79</v>
      </c>
      <c r="G361" s="98"/>
      <c r="I361" t="str">
        <f>VLOOKUP(A361,bnc_Map!A:C,3,FALSE)</f>
        <v>[BnC-9C06] BnC Delivery Commission</v>
      </c>
      <c r="J361" s="19">
        <v>-360157.31</v>
      </c>
      <c r="L361" s="20"/>
    </row>
    <row r="362" spans="1:12" x14ac:dyDescent="0.45">
      <c r="A362" s="97" t="s">
        <v>701</v>
      </c>
      <c r="B362" s="97" t="s">
        <v>702</v>
      </c>
      <c r="C362" s="97" t="s">
        <v>0</v>
      </c>
      <c r="D362" s="128">
        <v>118843.75</v>
      </c>
      <c r="E362" s="128"/>
      <c r="F362" s="98">
        <v>10060.08</v>
      </c>
      <c r="G362" s="98"/>
      <c r="I362" t="str">
        <f>VLOOKUP(A362,bnc_Map!A:C,3,FALSE)</f>
        <v>[BnC-9C06] BnC Delivery Commission</v>
      </c>
      <c r="J362" s="19">
        <v>578522.75</v>
      </c>
      <c r="L362" s="20"/>
    </row>
    <row r="363" spans="1:12" x14ac:dyDescent="0.45">
      <c r="A363" s="97" t="s">
        <v>703</v>
      </c>
      <c r="B363" s="97" t="s">
        <v>704</v>
      </c>
      <c r="C363" s="97" t="s">
        <v>0</v>
      </c>
      <c r="D363" s="128">
        <v>67852.009999999995</v>
      </c>
      <c r="E363" s="128"/>
      <c r="F363" s="98">
        <v>4135.1099999999997</v>
      </c>
      <c r="G363" s="98"/>
      <c r="I363" t="str">
        <f>VLOOKUP(A363,bnc_Map!A:C,3,FALSE)</f>
        <v>[BnC-9C06] BnC Delivery Commission</v>
      </c>
      <c r="J363" s="19">
        <v>-391826.99</v>
      </c>
      <c r="L363" s="20"/>
    </row>
    <row r="364" spans="1:12" x14ac:dyDescent="0.45">
      <c r="A364" s="97" t="s">
        <v>705</v>
      </c>
      <c r="B364" s="97" t="s">
        <v>706</v>
      </c>
      <c r="C364" s="97" t="s">
        <v>0</v>
      </c>
      <c r="D364" s="128">
        <v>45370.45</v>
      </c>
      <c r="E364" s="128"/>
      <c r="F364" s="98">
        <v>3553.77</v>
      </c>
      <c r="G364" s="98"/>
      <c r="I364" t="str">
        <f>VLOOKUP(A364,bnc_Map!A:C,3,FALSE)</f>
        <v>[BnC-9C06] BnC Delivery Commission</v>
      </c>
      <c r="J364" s="19">
        <v>505049.45</v>
      </c>
      <c r="L364" s="20"/>
    </row>
    <row r="365" spans="1:12" x14ac:dyDescent="0.45">
      <c r="A365" s="97" t="s">
        <v>707</v>
      </c>
      <c r="B365" s="97" t="s">
        <v>708</v>
      </c>
      <c r="C365" s="97" t="s">
        <v>0</v>
      </c>
      <c r="D365" s="128">
        <v>45534.62</v>
      </c>
      <c r="E365" s="128"/>
      <c r="F365" s="98">
        <v>4518.93</v>
      </c>
      <c r="G365" s="98"/>
      <c r="I365" t="str">
        <f>VLOOKUP(A365,bnc_Map!A:C,3,FALSE)</f>
        <v>[BnC-9C06] BnC Delivery Commission</v>
      </c>
      <c r="J365" s="19">
        <v>-414144.38</v>
      </c>
      <c r="L365" s="20"/>
    </row>
    <row r="366" spans="1:12" x14ac:dyDescent="0.45">
      <c r="A366" s="97" t="s">
        <v>1582</v>
      </c>
      <c r="B366" s="97" t="s">
        <v>1583</v>
      </c>
      <c r="C366" s="97" t="s">
        <v>0</v>
      </c>
      <c r="D366" s="128">
        <v>3039.57</v>
      </c>
      <c r="E366" s="128"/>
      <c r="F366" s="98">
        <v>3039.57</v>
      </c>
      <c r="G366" s="98"/>
      <c r="I366" t="str">
        <f>VLOOKUP(A366,bnc_Map!A:C,3,FALSE)</f>
        <v>[BnC-9C06] BnC Delivery Commission</v>
      </c>
      <c r="J366" s="19">
        <v>462718.57</v>
      </c>
      <c r="L366" s="20"/>
    </row>
    <row r="367" spans="1:12" x14ac:dyDescent="0.45">
      <c r="A367" s="97" t="s">
        <v>709</v>
      </c>
      <c r="B367" s="97" t="s">
        <v>710</v>
      </c>
      <c r="C367" s="97" t="s">
        <v>0</v>
      </c>
      <c r="D367" s="128">
        <v>990.54</v>
      </c>
      <c r="E367" s="128"/>
      <c r="F367" s="98"/>
      <c r="G367" s="98"/>
      <c r="I367" t="str">
        <f>VLOOKUP(A367,bnc_Map!A:C,3,FALSE)</f>
        <v>[BnC-9C06] BnC Delivery Commission</v>
      </c>
      <c r="J367" s="19">
        <v>-458688.46</v>
      </c>
      <c r="L367" s="20"/>
    </row>
    <row r="368" spans="1:12" x14ac:dyDescent="0.45">
      <c r="A368" s="97" t="s">
        <v>711</v>
      </c>
      <c r="B368" s="97" t="s">
        <v>712</v>
      </c>
      <c r="C368" s="97" t="s">
        <v>0</v>
      </c>
      <c r="D368" s="128">
        <v>163000</v>
      </c>
      <c r="E368" s="128"/>
      <c r="F368" s="98"/>
      <c r="G368" s="98"/>
      <c r="I368" t="str">
        <f>VLOOKUP(A368,bnc_Map!A:C,3,FALSE)</f>
        <v>[BnC-9D01] BnC Director Remuneration</v>
      </c>
      <c r="J368" s="19">
        <v>622679</v>
      </c>
      <c r="L368" s="20"/>
    </row>
    <row r="369" spans="1:12" x14ac:dyDescent="0.45">
      <c r="A369" s="97" t="s">
        <v>713</v>
      </c>
      <c r="B369" s="97" t="s">
        <v>714</v>
      </c>
      <c r="C369" s="97" t="s">
        <v>0</v>
      </c>
      <c r="D369" s="128">
        <v>126500</v>
      </c>
      <c r="E369" s="128"/>
      <c r="F369" s="98">
        <v>11500</v>
      </c>
      <c r="G369" s="98"/>
      <c r="I369" t="str">
        <f>VLOOKUP(A369,bnc_Map!A:C,3,FALSE)</f>
        <v>[BnC-9D01] BnC Director Salary</v>
      </c>
      <c r="J369" s="19">
        <v>-333179</v>
      </c>
      <c r="L369" s="20"/>
    </row>
    <row r="370" spans="1:12" x14ac:dyDescent="0.45">
      <c r="A370" s="97" t="s">
        <v>715</v>
      </c>
      <c r="B370" s="97" t="s">
        <v>716</v>
      </c>
      <c r="C370" s="97" t="s">
        <v>0</v>
      </c>
      <c r="D370" s="128">
        <v>3315</v>
      </c>
      <c r="E370" s="128"/>
      <c r="F370" s="98">
        <v>255</v>
      </c>
      <c r="G370" s="98"/>
      <c r="I370" t="str">
        <f>VLOOKUP(A370,bnc_Map!A:C,3,FALSE)</f>
        <v>[BnC-9D01] BnC Director CPF</v>
      </c>
      <c r="J370" s="19">
        <v>462994</v>
      </c>
      <c r="L370" s="20"/>
    </row>
    <row r="371" spans="1:12" x14ac:dyDescent="0.45">
      <c r="A371" s="97" t="s">
        <v>717</v>
      </c>
      <c r="B371" s="97" t="s">
        <v>718</v>
      </c>
      <c r="C371" s="97" t="s">
        <v>0</v>
      </c>
      <c r="D371" s="128">
        <v>225721.39</v>
      </c>
      <c r="E371" s="128"/>
      <c r="F371" s="98">
        <v>24669.09</v>
      </c>
      <c r="G371" s="98"/>
      <c r="I371" t="str">
        <f>VLOOKUP(A371,bnc_Map!A:C,3,FALSE)</f>
        <v>[BnC-9D02] BnC Depreciation</v>
      </c>
      <c r="J371" s="19">
        <v>-233957.61</v>
      </c>
      <c r="L371" s="20"/>
    </row>
    <row r="372" spans="1:12" x14ac:dyDescent="0.45">
      <c r="A372" s="97" t="s">
        <v>719</v>
      </c>
      <c r="B372" s="97" t="s">
        <v>720</v>
      </c>
      <c r="C372" s="97" t="s">
        <v>0</v>
      </c>
      <c r="D372" s="128">
        <v>20813.009999999998</v>
      </c>
      <c r="E372" s="128"/>
      <c r="F372" s="98">
        <v>1551.21</v>
      </c>
      <c r="G372" s="98"/>
      <c r="I372" t="str">
        <f>VLOOKUP(A372,bnc_Map!A:C,3,FALSE)</f>
        <v>[BnC-9D02] BnC Depreciation</v>
      </c>
      <c r="J372" s="19">
        <v>480492.01</v>
      </c>
      <c r="L372" s="20"/>
    </row>
    <row r="373" spans="1:12" x14ac:dyDescent="0.45">
      <c r="A373" s="97" t="s">
        <v>721</v>
      </c>
      <c r="B373" s="97" t="s">
        <v>722</v>
      </c>
      <c r="C373" s="97" t="s">
        <v>0</v>
      </c>
      <c r="D373" s="128">
        <v>5274.11</v>
      </c>
      <c r="E373" s="128"/>
      <c r="F373" s="98">
        <v>251.47</v>
      </c>
      <c r="G373" s="98"/>
      <c r="I373" t="str">
        <f>VLOOKUP(A373,bnc_Map!A:C,3,FALSE)</f>
        <v>[BnC-9D02] BnC Depreciation</v>
      </c>
      <c r="J373" s="19">
        <v>-454404.89</v>
      </c>
      <c r="L373" s="20"/>
    </row>
    <row r="374" spans="1:12" x14ac:dyDescent="0.45">
      <c r="A374" s="97" t="s">
        <v>723</v>
      </c>
      <c r="B374" s="97" t="s">
        <v>724</v>
      </c>
      <c r="C374" s="97" t="s">
        <v>0</v>
      </c>
      <c r="D374" s="128">
        <v>1638.23</v>
      </c>
      <c r="E374" s="128"/>
      <c r="F374" s="98">
        <v>148.93</v>
      </c>
      <c r="G374" s="98"/>
      <c r="I374" t="str">
        <f>VLOOKUP(A374,bnc_Map!A:C,3,FALSE)</f>
        <v>[BnC-9D02] BnC Depreciation</v>
      </c>
      <c r="J374" s="19">
        <v>461317.23</v>
      </c>
      <c r="L374" s="20"/>
    </row>
    <row r="375" spans="1:12" x14ac:dyDescent="0.45">
      <c r="A375" s="97" t="s">
        <v>725</v>
      </c>
      <c r="B375" s="97" t="s">
        <v>726</v>
      </c>
      <c r="C375" s="97" t="s">
        <v>0</v>
      </c>
      <c r="D375" s="128">
        <v>22457.48</v>
      </c>
      <c r="E375" s="128"/>
      <c r="F375" s="98">
        <v>2078.44</v>
      </c>
      <c r="G375" s="98"/>
      <c r="I375" t="str">
        <f>VLOOKUP(A375,bnc_Map!A:C,3,FALSE)</f>
        <v>[BnC-9D02] BnC Depreciation</v>
      </c>
      <c r="J375" s="19">
        <v>-437221.52</v>
      </c>
      <c r="L375" s="20"/>
    </row>
    <row r="376" spans="1:12" x14ac:dyDescent="0.45">
      <c r="A376" s="97" t="s">
        <v>727</v>
      </c>
      <c r="B376" s="97" t="s">
        <v>728</v>
      </c>
      <c r="C376" s="97" t="s">
        <v>0</v>
      </c>
      <c r="D376" s="128">
        <v>7562.9</v>
      </c>
      <c r="E376" s="128"/>
      <c r="F376" s="98">
        <v>707.9</v>
      </c>
      <c r="G376" s="98"/>
      <c r="I376" t="str">
        <f>VLOOKUP(A376,bnc_Map!A:C,3,FALSE)</f>
        <v>[BnC-9D02] BnC Depreciation</v>
      </c>
      <c r="J376" s="19">
        <v>467241.9</v>
      </c>
      <c r="L376" s="20"/>
    </row>
    <row r="377" spans="1:12" x14ac:dyDescent="0.45">
      <c r="A377" s="97" t="s">
        <v>729</v>
      </c>
      <c r="B377" s="97" t="s">
        <v>730</v>
      </c>
      <c r="C377" s="97" t="s">
        <v>0</v>
      </c>
      <c r="D377" s="128">
        <v>10848.52</v>
      </c>
      <c r="E377" s="128"/>
      <c r="F377" s="98">
        <v>949.49</v>
      </c>
      <c r="G377" s="98"/>
      <c r="I377" t="str">
        <f>VLOOKUP(A377,bnc_Map!A:C,3,FALSE)</f>
        <v>[BnC-9D02] BnC Depreciation</v>
      </c>
      <c r="J377" s="19">
        <v>-448830.48</v>
      </c>
      <c r="L377" s="20"/>
    </row>
    <row r="378" spans="1:12" x14ac:dyDescent="0.45">
      <c r="A378" s="97" t="s">
        <v>731</v>
      </c>
      <c r="B378" s="97" t="s">
        <v>732</v>
      </c>
      <c r="C378" s="97" t="s">
        <v>0</v>
      </c>
      <c r="D378" s="128">
        <v>3729.55</v>
      </c>
      <c r="E378" s="128"/>
      <c r="F378" s="98">
        <v>339.05</v>
      </c>
      <c r="G378" s="98"/>
      <c r="I378" t="str">
        <f>VLOOKUP(A378,bnc_Map!A:C,3,FALSE)</f>
        <v>[BnC-9D02] BnC Depreciation</v>
      </c>
      <c r="J378" s="19">
        <v>463408.55</v>
      </c>
      <c r="L378" s="20"/>
    </row>
    <row r="379" spans="1:12" x14ac:dyDescent="0.45">
      <c r="A379" s="97" t="s">
        <v>733</v>
      </c>
      <c r="B379" s="97" t="s">
        <v>734</v>
      </c>
      <c r="C379" s="97" t="s">
        <v>0</v>
      </c>
      <c r="D379" s="128">
        <v>21492.63</v>
      </c>
      <c r="E379" s="128"/>
      <c r="F379" s="98">
        <v>1995.03</v>
      </c>
      <c r="G379" s="98"/>
      <c r="I379" t="str">
        <f>VLOOKUP(A379,bnc_Map!A:C,3,FALSE)</f>
        <v>[BnC-9D02] BnC Depreciation</v>
      </c>
      <c r="J379" s="19">
        <v>-438186.37</v>
      </c>
      <c r="L379" s="20"/>
    </row>
    <row r="380" spans="1:12" x14ac:dyDescent="0.45">
      <c r="A380" s="97" t="s">
        <v>735</v>
      </c>
      <c r="B380" s="97" t="s">
        <v>736</v>
      </c>
      <c r="C380" s="97" t="s">
        <v>0</v>
      </c>
      <c r="D380" s="128">
        <v>103957.73</v>
      </c>
      <c r="E380" s="128"/>
      <c r="F380" s="98">
        <v>1985.67</v>
      </c>
      <c r="G380" s="98"/>
      <c r="I380" t="str">
        <f>VLOOKUP(A380,bnc_Map!A:C,3,FALSE)</f>
        <v>[BnC-9D02] BnC Depreciation</v>
      </c>
      <c r="J380" s="19">
        <v>563636.73</v>
      </c>
      <c r="L380" s="20"/>
    </row>
    <row r="381" spans="1:12" x14ac:dyDescent="0.45">
      <c r="A381" s="97" t="s">
        <v>737</v>
      </c>
      <c r="B381" s="97" t="s">
        <v>738</v>
      </c>
      <c r="C381" s="97" t="s">
        <v>0</v>
      </c>
      <c r="D381" s="128">
        <v>108570.23</v>
      </c>
      <c r="E381" s="128"/>
      <c r="F381" s="98">
        <v>3666.76</v>
      </c>
      <c r="G381" s="98"/>
      <c r="I381" t="str">
        <f>VLOOKUP(A381,bnc_Map!A:C,3,FALSE)</f>
        <v>[BnC-9D02] BnC Depreciation</v>
      </c>
      <c r="J381" s="19">
        <v>-351108.77</v>
      </c>
      <c r="L381" s="20"/>
    </row>
    <row r="382" spans="1:12" x14ac:dyDescent="0.45">
      <c r="A382" s="97" t="s">
        <v>739</v>
      </c>
      <c r="B382" s="97" t="s">
        <v>740</v>
      </c>
      <c r="C382" s="97" t="s">
        <v>0</v>
      </c>
      <c r="D382" s="128">
        <v>115291.47</v>
      </c>
      <c r="E382" s="128"/>
      <c r="F382" s="98">
        <v>2401.2800000000002</v>
      </c>
      <c r="G382" s="98"/>
      <c r="I382" t="str">
        <f>VLOOKUP(A382,bnc_Map!A:C,3,FALSE)</f>
        <v>[BnC-9D02] BnC Depreciation</v>
      </c>
      <c r="J382" s="19">
        <v>574970.47</v>
      </c>
      <c r="L382" s="20"/>
    </row>
    <row r="383" spans="1:12" x14ac:dyDescent="0.45">
      <c r="A383" s="97" t="s">
        <v>741</v>
      </c>
      <c r="B383" s="97" t="s">
        <v>742</v>
      </c>
      <c r="C383" s="97" t="s">
        <v>0</v>
      </c>
      <c r="D383" s="128">
        <v>203952.83</v>
      </c>
      <c r="E383" s="128"/>
      <c r="F383" s="98">
        <v>18188.12</v>
      </c>
      <c r="G383" s="98"/>
      <c r="I383" t="str">
        <f>VLOOKUP(A383,bnc_Map!A:C,3,FALSE)</f>
        <v>[BnC-9D02] BnC Depreciation</v>
      </c>
      <c r="J383" s="19">
        <v>-255726.17</v>
      </c>
      <c r="L383" s="20"/>
    </row>
    <row r="384" spans="1:12" x14ac:dyDescent="0.45">
      <c r="A384" s="97" t="s">
        <v>743</v>
      </c>
      <c r="B384" s="97" t="s">
        <v>744</v>
      </c>
      <c r="C384" s="97" t="s">
        <v>0</v>
      </c>
      <c r="D384" s="128">
        <v>126719.42</v>
      </c>
      <c r="E384" s="128"/>
      <c r="F384" s="98">
        <v>18095.61</v>
      </c>
      <c r="G384" s="98"/>
      <c r="I384" t="str">
        <f>VLOOKUP(A384,bnc_Map!A:C,3,FALSE)</f>
        <v>[BnC-9D02] BnC Depreciation</v>
      </c>
      <c r="J384" s="19">
        <v>586398.42000000004</v>
      </c>
      <c r="L384" s="20"/>
    </row>
    <row r="385" spans="1:12" x14ac:dyDescent="0.45">
      <c r="A385" s="97" t="s">
        <v>745</v>
      </c>
      <c r="B385" s="97" t="s">
        <v>746</v>
      </c>
      <c r="C385" s="97" t="s">
        <v>0</v>
      </c>
      <c r="D385" s="128">
        <v>23553.35</v>
      </c>
      <c r="E385" s="128"/>
      <c r="F385" s="98">
        <v>11776.68</v>
      </c>
      <c r="G385" s="98"/>
      <c r="I385" t="str">
        <f>VLOOKUP(A385,bnc_Map!A:C,3,FALSE)</f>
        <v>[BnC-9D02] BnC Depreciation</v>
      </c>
      <c r="J385" s="19">
        <v>-436125.65</v>
      </c>
      <c r="L385" s="20"/>
    </row>
    <row r="386" spans="1:12" x14ac:dyDescent="0.45">
      <c r="A386" s="97" t="s">
        <v>747</v>
      </c>
      <c r="B386" s="97" t="s">
        <v>748</v>
      </c>
      <c r="C386" s="97" t="s">
        <v>0</v>
      </c>
      <c r="D386" s="128">
        <v>11985.4</v>
      </c>
      <c r="E386" s="128"/>
      <c r="F386" s="98"/>
      <c r="G386" s="98"/>
      <c r="I386" t="str">
        <f>VLOOKUP(A386,bnc_Map!A:C,3,FALSE)</f>
        <v>[BnC-9D03] BnC Donation</v>
      </c>
      <c r="J386" s="19">
        <v>471664.4</v>
      </c>
      <c r="L386" s="20"/>
    </row>
    <row r="387" spans="1:12" x14ac:dyDescent="0.45">
      <c r="A387" s="97" t="s">
        <v>1584</v>
      </c>
      <c r="B387" s="97" t="s">
        <v>1585</v>
      </c>
      <c r="C387" s="97" t="s">
        <v>0</v>
      </c>
      <c r="D387" s="128">
        <v>37030.68</v>
      </c>
      <c r="E387" s="128"/>
      <c r="F387" s="98">
        <v>37030.68</v>
      </c>
      <c r="G387" s="98"/>
      <c r="I387" t="str">
        <f>VLOOKUP(A387,bnc_Map!A:C,3,FALSE)</f>
        <v>[BnC-9D02] BnC Depreciation</v>
      </c>
      <c r="J387" s="19">
        <v>-422648.32000000001</v>
      </c>
      <c r="L387" s="20"/>
    </row>
    <row r="388" spans="1:12" x14ac:dyDescent="0.45">
      <c r="A388" s="97" t="s">
        <v>1586</v>
      </c>
      <c r="B388" s="97" t="s">
        <v>1587</v>
      </c>
      <c r="C388" s="97" t="s">
        <v>0</v>
      </c>
      <c r="D388" s="128">
        <v>104857.13</v>
      </c>
      <c r="E388" s="128"/>
      <c r="F388" s="98">
        <v>104857.13</v>
      </c>
      <c r="G388" s="98"/>
      <c r="I388" t="str">
        <f>VLOOKUP(A388,bnc_Map!A:C,3,FALSE)</f>
        <v>[BnC-9D02] BnC Depreciation</v>
      </c>
      <c r="J388" s="19">
        <v>564536.13</v>
      </c>
      <c r="L388" s="20"/>
    </row>
    <row r="389" spans="1:12" x14ac:dyDescent="0.45">
      <c r="A389" s="97" t="s">
        <v>1588</v>
      </c>
      <c r="B389" s="97" t="s">
        <v>1589</v>
      </c>
      <c r="C389" s="97" t="s">
        <v>0</v>
      </c>
      <c r="D389" s="128">
        <v>59044.87</v>
      </c>
      <c r="E389" s="128"/>
      <c r="F389" s="98">
        <v>59044.87</v>
      </c>
      <c r="G389" s="98"/>
      <c r="I389" t="str">
        <f>VLOOKUP(A389,bnc_Map!A:C,3,FALSE)</f>
        <v>[BnC-9D02] BnC Depreciation</v>
      </c>
      <c r="J389" s="19">
        <v>-400634.13</v>
      </c>
      <c r="L389" s="20"/>
    </row>
    <row r="390" spans="1:12" x14ac:dyDescent="0.45">
      <c r="A390" s="97" t="s">
        <v>1590</v>
      </c>
      <c r="B390" s="97" t="s">
        <v>1591</v>
      </c>
      <c r="C390" s="97" t="s">
        <v>0</v>
      </c>
      <c r="D390" s="128">
        <v>251285.62</v>
      </c>
      <c r="E390" s="128"/>
      <c r="F390" s="98">
        <v>251285.62</v>
      </c>
      <c r="G390" s="98"/>
      <c r="I390" t="str">
        <f>VLOOKUP(A390,bnc_Map!A:C,3,FALSE)</f>
        <v>[BnC-9D02] BnC Depreciation</v>
      </c>
      <c r="J390" s="19">
        <v>710964.62</v>
      </c>
      <c r="L390" s="20"/>
    </row>
    <row r="391" spans="1:12" x14ac:dyDescent="0.45">
      <c r="A391" s="97" t="s">
        <v>1592</v>
      </c>
      <c r="B391" s="97" t="s">
        <v>1593</v>
      </c>
      <c r="C391" s="97" t="s">
        <v>0</v>
      </c>
      <c r="D391" s="128">
        <v>23472.75</v>
      </c>
      <c r="E391" s="128"/>
      <c r="F391" s="98">
        <v>23472.75</v>
      </c>
      <c r="G391" s="98"/>
      <c r="I391" t="str">
        <f>VLOOKUP(A391,bnc_Map!A:C,3,FALSE)</f>
        <v>[BnC-9D02] BnC Depreciation</v>
      </c>
      <c r="J391" s="19">
        <v>-436206.25</v>
      </c>
      <c r="L391" s="20"/>
    </row>
    <row r="392" spans="1:12" x14ac:dyDescent="0.45">
      <c r="A392" s="97" t="s">
        <v>1594</v>
      </c>
      <c r="B392" s="97" t="s">
        <v>1595</v>
      </c>
      <c r="C392" s="97" t="s">
        <v>0</v>
      </c>
      <c r="D392" s="128">
        <v>111931.45</v>
      </c>
      <c r="E392" s="128"/>
      <c r="F392" s="98">
        <v>111931.45</v>
      </c>
      <c r="G392" s="98"/>
      <c r="I392" t="str">
        <f>VLOOKUP(A392,bnc_Map!A:C,3,FALSE)</f>
        <v>[BnC-9D02] BnC Depreciation</v>
      </c>
      <c r="J392" s="19">
        <v>571610.44999999995</v>
      </c>
      <c r="L392" s="20"/>
    </row>
    <row r="393" spans="1:12" x14ac:dyDescent="0.45">
      <c r="A393" s="97" t="s">
        <v>1596</v>
      </c>
      <c r="B393" s="97" t="s">
        <v>1597</v>
      </c>
      <c r="C393" s="97" t="s">
        <v>0</v>
      </c>
      <c r="D393" s="128">
        <v>43795.49</v>
      </c>
      <c r="E393" s="128"/>
      <c r="F393" s="98">
        <v>43795.49</v>
      </c>
      <c r="G393" s="98"/>
      <c r="I393" t="str">
        <f>VLOOKUP(A393,bnc_Map!A:C,3,FALSE)</f>
        <v>[BnC-9D02] BnC Depreciation</v>
      </c>
      <c r="J393" s="19">
        <v>-415883.51</v>
      </c>
      <c r="L393" s="20"/>
    </row>
    <row r="394" spans="1:12" x14ac:dyDescent="0.45">
      <c r="A394" s="97" t="s">
        <v>1598</v>
      </c>
      <c r="B394" s="97" t="s">
        <v>1599</v>
      </c>
      <c r="C394" s="97" t="s">
        <v>0</v>
      </c>
      <c r="D394" s="128">
        <v>93162.03</v>
      </c>
      <c r="E394" s="128"/>
      <c r="F394" s="98">
        <v>93162.03</v>
      </c>
      <c r="G394" s="98"/>
      <c r="I394" t="str">
        <f>VLOOKUP(A394,bnc_Map!A:C,3,FALSE)</f>
        <v>[BnC-9D02] BnC Depreciation</v>
      </c>
      <c r="J394" s="19">
        <v>552841.03</v>
      </c>
      <c r="L394" s="20"/>
    </row>
    <row r="395" spans="1:12" x14ac:dyDescent="0.45">
      <c r="A395" s="97" t="s">
        <v>1600</v>
      </c>
      <c r="B395" s="97" t="s">
        <v>1601</v>
      </c>
      <c r="C395" s="97" t="s">
        <v>0</v>
      </c>
      <c r="D395" s="128">
        <v>26446.84</v>
      </c>
      <c r="E395" s="128"/>
      <c r="F395" s="98">
        <v>26446.84</v>
      </c>
      <c r="G395" s="98"/>
      <c r="I395" t="str">
        <f>VLOOKUP(A395,bnc_Map!A:C,3,FALSE)</f>
        <v>[BnC-9D02] BnC Depreciation</v>
      </c>
      <c r="J395" s="19">
        <v>-433232.16</v>
      </c>
      <c r="L395" s="20"/>
    </row>
    <row r="396" spans="1:12" x14ac:dyDescent="0.45">
      <c r="A396" s="97" t="s">
        <v>1602</v>
      </c>
      <c r="B396" s="97" t="s">
        <v>1603</v>
      </c>
      <c r="C396" s="97" t="s">
        <v>0</v>
      </c>
      <c r="D396" s="128">
        <v>147049.1</v>
      </c>
      <c r="E396" s="128"/>
      <c r="F396" s="98">
        <v>147049.1</v>
      </c>
      <c r="G396" s="98"/>
      <c r="I396" t="str">
        <f>VLOOKUP(A396,bnc_Map!A:C,3,FALSE)</f>
        <v>[BnC-9D02] BnC Depreciation</v>
      </c>
      <c r="J396" s="19">
        <v>606728.1</v>
      </c>
      <c r="L396" s="20"/>
    </row>
    <row r="397" spans="1:12" x14ac:dyDescent="0.45">
      <c r="A397" s="97" t="s">
        <v>1604</v>
      </c>
      <c r="B397" s="97" t="s">
        <v>1605</v>
      </c>
      <c r="C397" s="97" t="s">
        <v>0</v>
      </c>
      <c r="D397" s="128">
        <v>49380.02</v>
      </c>
      <c r="E397" s="128"/>
      <c r="F397" s="98">
        <v>49380.02</v>
      </c>
      <c r="G397" s="98"/>
      <c r="I397" t="str">
        <f>VLOOKUP(A397,bnc_Map!A:C,3,FALSE)</f>
        <v>[BnC-9D02] BnC Depreciation</v>
      </c>
      <c r="J397" s="19">
        <v>-410298.98</v>
      </c>
      <c r="L397" s="20"/>
    </row>
    <row r="398" spans="1:12" x14ac:dyDescent="0.45">
      <c r="A398" s="97" t="s">
        <v>1606</v>
      </c>
      <c r="B398" s="97" t="s">
        <v>1607</v>
      </c>
      <c r="C398" s="97" t="s">
        <v>0</v>
      </c>
      <c r="D398" s="128">
        <v>75366.179999999993</v>
      </c>
      <c r="E398" s="128"/>
      <c r="F398" s="98">
        <v>75366.179999999993</v>
      </c>
      <c r="G398" s="98"/>
      <c r="I398" t="str">
        <f>VLOOKUP(A398,bnc_Map!A:C,3,FALSE)</f>
        <v>[BnC-9D02] BnC Depreciation</v>
      </c>
      <c r="J398" s="19">
        <v>535045.17999999993</v>
      </c>
      <c r="L398" s="20"/>
    </row>
    <row r="399" spans="1:12" x14ac:dyDescent="0.45">
      <c r="A399" s="97" t="s">
        <v>1608</v>
      </c>
      <c r="B399" s="97" t="s">
        <v>1609</v>
      </c>
      <c r="C399" s="97" t="s">
        <v>0</v>
      </c>
      <c r="D399" s="128">
        <v>148038.74</v>
      </c>
      <c r="E399" s="128"/>
      <c r="F399" s="98">
        <v>148038.74</v>
      </c>
      <c r="G399" s="98"/>
      <c r="I399" t="str">
        <f>VLOOKUP(A399,bnc_Map!A:C,3,FALSE)</f>
        <v>[BnC-9D02] BnC Depreciation</v>
      </c>
      <c r="J399" s="19">
        <v>-311640.26</v>
      </c>
      <c r="L399" s="20"/>
    </row>
    <row r="400" spans="1:12" x14ac:dyDescent="0.45">
      <c r="A400" s="97" t="s">
        <v>1610</v>
      </c>
      <c r="B400" s="97" t="s">
        <v>1611</v>
      </c>
      <c r="C400" s="97" t="s">
        <v>0</v>
      </c>
      <c r="D400" s="128">
        <v>251924.6</v>
      </c>
      <c r="E400" s="128"/>
      <c r="F400" s="98">
        <v>251924.6</v>
      </c>
      <c r="G400" s="98"/>
      <c r="I400" t="str">
        <f>VLOOKUP(A400,bnc_Map!A:C,3,FALSE)</f>
        <v>[BnC-9D02] BnC Depreciation</v>
      </c>
      <c r="J400" s="19">
        <v>711603.6</v>
      </c>
      <c r="L400" s="20"/>
    </row>
    <row r="401" spans="1:12" x14ac:dyDescent="0.45">
      <c r="A401" s="97" t="s">
        <v>1612</v>
      </c>
      <c r="B401" s="97" t="s">
        <v>1613</v>
      </c>
      <c r="C401" s="97" t="s">
        <v>0</v>
      </c>
      <c r="D401" s="128">
        <v>17510.14</v>
      </c>
      <c r="E401" s="128"/>
      <c r="F401" s="98">
        <v>17510.14</v>
      </c>
      <c r="G401" s="98"/>
      <c r="I401" t="str">
        <f>VLOOKUP(A401,bnc_Map!A:C,3,FALSE)</f>
        <v>[BnC-9D02] BnC Depreciation</v>
      </c>
      <c r="J401" s="19">
        <v>-442168.86</v>
      </c>
      <c r="L401" s="20"/>
    </row>
    <row r="402" spans="1:12" x14ac:dyDescent="0.45">
      <c r="A402" s="97" t="s">
        <v>1614</v>
      </c>
      <c r="B402" s="97" t="s">
        <v>1615</v>
      </c>
      <c r="C402" s="97" t="s">
        <v>0</v>
      </c>
      <c r="D402" s="128">
        <v>16716.41</v>
      </c>
      <c r="E402" s="128"/>
      <c r="F402" s="98">
        <v>16716.41</v>
      </c>
      <c r="G402" s="98"/>
      <c r="I402" t="str">
        <f>VLOOKUP(A402,bnc_Map!A:C,3,FALSE)</f>
        <v>[BnC-9D02] BnC Depreciation</v>
      </c>
      <c r="J402" s="19">
        <v>476395.41</v>
      </c>
      <c r="L402" s="20"/>
    </row>
    <row r="403" spans="1:12" x14ac:dyDescent="0.45">
      <c r="A403" s="97" t="s">
        <v>749</v>
      </c>
      <c r="B403" s="97" t="s">
        <v>750</v>
      </c>
      <c r="C403" s="97" t="s">
        <v>0</v>
      </c>
      <c r="D403" s="128">
        <v>2039.24</v>
      </c>
      <c r="E403" s="128"/>
      <c r="F403" s="98"/>
      <c r="G403" s="98"/>
      <c r="I403" t="str">
        <f>VLOOKUP(A403,bnc_Map!A:C,3,FALSE)</f>
        <v>[BnC-9E01] BnC Entertainment</v>
      </c>
      <c r="J403" s="19">
        <v>-457639.76</v>
      </c>
      <c r="L403" s="20"/>
    </row>
    <row r="404" spans="1:12" x14ac:dyDescent="0.45">
      <c r="A404" s="97" t="s">
        <v>751</v>
      </c>
      <c r="B404" s="97" t="s">
        <v>752</v>
      </c>
      <c r="C404" s="97" t="s">
        <v>0</v>
      </c>
      <c r="D404" s="128">
        <v>57387.26</v>
      </c>
      <c r="E404" s="128"/>
      <c r="F404" s="98">
        <v>4429.78</v>
      </c>
      <c r="G404" s="98"/>
      <c r="I404" t="str">
        <f>VLOOKUP(A404,bnc_Map!A:C,3,FALSE)</f>
        <v>[BnC-9I01] BnC Insurance</v>
      </c>
      <c r="J404" s="19">
        <v>517066.26</v>
      </c>
      <c r="L404" s="20"/>
    </row>
    <row r="405" spans="1:12" x14ac:dyDescent="0.45">
      <c r="A405" s="97" t="s">
        <v>753</v>
      </c>
      <c r="B405" s="97" t="s">
        <v>754</v>
      </c>
      <c r="C405" s="97" t="s">
        <v>0</v>
      </c>
      <c r="D405" s="128">
        <v>23943.56</v>
      </c>
      <c r="E405" s="128"/>
      <c r="F405" s="98">
        <v>3073.66</v>
      </c>
      <c r="G405" s="98"/>
      <c r="I405" t="str">
        <f>VLOOKUP(A405,bnc_Map!A:C,3,FALSE)</f>
        <v>[BnC-9I02] BnC IT &amp; Webpage Expense</v>
      </c>
      <c r="J405" s="19">
        <v>-435735.44</v>
      </c>
      <c r="L405" s="20"/>
    </row>
    <row r="406" spans="1:12" x14ac:dyDescent="0.45">
      <c r="A406" s="132" t="s">
        <v>1710</v>
      </c>
      <c r="B406" s="132" t="s">
        <v>1711</v>
      </c>
      <c r="C406" s="132" t="s">
        <v>0</v>
      </c>
      <c r="D406" s="133">
        <v>586571.30000000005</v>
      </c>
      <c r="E406" s="133"/>
      <c r="F406" s="133">
        <v>586571.30000000005</v>
      </c>
      <c r="G406" s="133"/>
      <c r="H406" s="134"/>
      <c r="I406" s="134" t="str">
        <f>VLOOKUP(A406,bnc_Map!A:C,3,FALSE)</f>
        <v>[9I03/000] BnC INCOME TAX EXPENSE</v>
      </c>
      <c r="J406" s="135">
        <v>1046250.3</v>
      </c>
      <c r="L406" s="20"/>
    </row>
    <row r="407" spans="1:12" x14ac:dyDescent="0.45">
      <c r="A407" s="97" t="s">
        <v>755</v>
      </c>
      <c r="B407" s="97" t="s">
        <v>756</v>
      </c>
      <c r="C407" s="97" t="s">
        <v>0</v>
      </c>
      <c r="D407" s="128">
        <v>50000.01</v>
      </c>
      <c r="E407" s="128"/>
      <c r="F407" s="98">
        <v>4246.58</v>
      </c>
      <c r="G407" s="98"/>
      <c r="I407" t="str">
        <f>VLOOKUP(A407,bnc_Map!A:C,3,FALSE)</f>
        <v>[BnC-9I04] BnC Loan Interest</v>
      </c>
      <c r="J407" s="19">
        <v>-409678.99</v>
      </c>
      <c r="L407" s="20"/>
    </row>
    <row r="408" spans="1:12" x14ac:dyDescent="0.45">
      <c r="A408" s="97" t="s">
        <v>1616</v>
      </c>
      <c r="B408" s="97" t="s">
        <v>1617</v>
      </c>
      <c r="C408" s="97" t="s">
        <v>0</v>
      </c>
      <c r="D408" s="128">
        <v>5795.73</v>
      </c>
      <c r="E408" s="128"/>
      <c r="F408" s="98">
        <v>5795.73</v>
      </c>
      <c r="G408" s="98"/>
      <c r="I408" t="str">
        <f>VLOOKUP(A408,bnc_Map!A:C,3,FALSE)</f>
        <v>[BnC-9I04] BnC Loan Interest</v>
      </c>
      <c r="J408" s="19">
        <v>465474.73</v>
      </c>
      <c r="L408" s="20"/>
    </row>
    <row r="409" spans="1:12" x14ac:dyDescent="0.45">
      <c r="A409" s="97" t="s">
        <v>1618</v>
      </c>
      <c r="B409" s="97" t="s">
        <v>1619</v>
      </c>
      <c r="C409" s="97" t="s">
        <v>0</v>
      </c>
      <c r="D409" s="128">
        <v>11535.21</v>
      </c>
      <c r="E409" s="128"/>
      <c r="F409" s="98">
        <v>11535.21</v>
      </c>
      <c r="G409" s="98"/>
      <c r="I409" t="str">
        <f>VLOOKUP(A409,bnc_Map!A:C,3,FALSE)</f>
        <v>[BnC-9I04] BnC Loan Interest</v>
      </c>
      <c r="J409" s="19">
        <v>-448143.79</v>
      </c>
      <c r="L409" s="20"/>
    </row>
    <row r="410" spans="1:12" x14ac:dyDescent="0.45">
      <c r="A410" s="97" t="s">
        <v>1620</v>
      </c>
      <c r="B410" s="97" t="s">
        <v>1621</v>
      </c>
      <c r="C410" s="97" t="s">
        <v>0</v>
      </c>
      <c r="D410" s="128">
        <v>4136.17</v>
      </c>
      <c r="E410" s="128"/>
      <c r="F410" s="98">
        <v>4136.17</v>
      </c>
      <c r="G410" s="98"/>
      <c r="I410" t="str">
        <f>VLOOKUP(A410,bnc_Map!A:C,3,FALSE)</f>
        <v>[BnC-9I04] BnC Loan Interest</v>
      </c>
      <c r="J410" s="19">
        <v>463815.17</v>
      </c>
      <c r="L410" s="20"/>
    </row>
    <row r="411" spans="1:12" x14ac:dyDescent="0.45">
      <c r="A411" s="97" t="s">
        <v>1622</v>
      </c>
      <c r="B411" s="97" t="s">
        <v>1623</v>
      </c>
      <c r="C411" s="97" t="s">
        <v>0</v>
      </c>
      <c r="D411" s="128">
        <v>20762.22</v>
      </c>
      <c r="E411" s="128"/>
      <c r="F411" s="98">
        <v>20762.22</v>
      </c>
      <c r="G411" s="98"/>
      <c r="I411" t="str">
        <f>VLOOKUP(A411,bnc_Map!A:C,3,FALSE)</f>
        <v>[BnC-9I04] BnC Loan Interest</v>
      </c>
      <c r="J411" s="19">
        <v>-438916.78</v>
      </c>
      <c r="L411" s="20"/>
    </row>
    <row r="412" spans="1:12" x14ac:dyDescent="0.45">
      <c r="A412" s="97" t="s">
        <v>1624</v>
      </c>
      <c r="B412" s="97" t="s">
        <v>1625</v>
      </c>
      <c r="C412" s="97" t="s">
        <v>0</v>
      </c>
      <c r="D412" s="128">
        <v>2784.76</v>
      </c>
      <c r="E412" s="128"/>
      <c r="F412" s="98">
        <v>2784.76</v>
      </c>
      <c r="G412" s="98"/>
      <c r="I412" t="str">
        <f>VLOOKUP(A412,bnc_Map!A:C,3,FALSE)</f>
        <v>[BnC-9I04] BnC Loan Interest</v>
      </c>
      <c r="J412" s="19">
        <v>462463.76</v>
      </c>
      <c r="L412" s="20"/>
    </row>
    <row r="413" spans="1:12" x14ac:dyDescent="0.45">
      <c r="A413" s="97" t="s">
        <v>1626</v>
      </c>
      <c r="B413" s="97" t="s">
        <v>1627</v>
      </c>
      <c r="C413" s="97" t="s">
        <v>0</v>
      </c>
      <c r="D413" s="128">
        <v>19624.8</v>
      </c>
      <c r="E413" s="128"/>
      <c r="F413" s="98">
        <v>19624.8</v>
      </c>
      <c r="G413" s="98"/>
      <c r="I413" t="str">
        <f>VLOOKUP(A413,bnc_Map!A:C,3,FALSE)</f>
        <v>[BnC-9I04] BnC Loan Interest</v>
      </c>
      <c r="J413" s="19">
        <v>-440054.2</v>
      </c>
      <c r="L413" s="20"/>
    </row>
    <row r="414" spans="1:12" x14ac:dyDescent="0.45">
      <c r="A414" s="97" t="s">
        <v>1628</v>
      </c>
      <c r="B414" s="97" t="s">
        <v>1629</v>
      </c>
      <c r="C414" s="97" t="s">
        <v>0</v>
      </c>
      <c r="D414" s="128">
        <v>6961.44</v>
      </c>
      <c r="E414" s="128"/>
      <c r="F414" s="98">
        <v>6961.44</v>
      </c>
      <c r="G414" s="98"/>
      <c r="I414" t="str">
        <f>VLOOKUP(A414,bnc_Map!A:C,3,FALSE)</f>
        <v>[BnC-9I04] BnC Loan Interest</v>
      </c>
      <c r="J414" s="19">
        <v>466640.44</v>
      </c>
      <c r="L414" s="20"/>
    </row>
    <row r="415" spans="1:12" x14ac:dyDescent="0.45">
      <c r="A415" s="97" t="s">
        <v>1630</v>
      </c>
      <c r="B415" s="97" t="s">
        <v>1631</v>
      </c>
      <c r="C415" s="97" t="s">
        <v>0</v>
      </c>
      <c r="D415" s="128">
        <v>10781.17</v>
      </c>
      <c r="E415" s="128"/>
      <c r="F415" s="98">
        <v>10781.17</v>
      </c>
      <c r="G415" s="98"/>
      <c r="I415" t="str">
        <f>VLOOKUP(A415,bnc_Map!A:C,3,FALSE)</f>
        <v>[BnC-9I04] BnC Loan Interest</v>
      </c>
      <c r="J415" s="19">
        <v>-448897.83</v>
      </c>
      <c r="L415" s="20"/>
    </row>
    <row r="416" spans="1:12" x14ac:dyDescent="0.45">
      <c r="A416" s="97" t="s">
        <v>1632</v>
      </c>
      <c r="B416" s="97" t="s">
        <v>1633</v>
      </c>
      <c r="C416" s="97" t="s">
        <v>0</v>
      </c>
      <c r="D416" s="128">
        <v>4065.52</v>
      </c>
      <c r="E416" s="128"/>
      <c r="F416" s="98">
        <v>4065.52</v>
      </c>
      <c r="G416" s="98"/>
      <c r="I416" t="str">
        <f>VLOOKUP(A416,bnc_Map!A:C,3,FALSE)</f>
        <v>[BnC-9I04] BnC Loan Interest</v>
      </c>
      <c r="J416" s="19">
        <v>463744.52</v>
      </c>
      <c r="L416" s="20"/>
    </row>
    <row r="417" spans="1:12" x14ac:dyDescent="0.45">
      <c r="A417" s="97" t="s">
        <v>1634</v>
      </c>
      <c r="B417" s="97" t="s">
        <v>1635</v>
      </c>
      <c r="C417" s="97" t="s">
        <v>0</v>
      </c>
      <c r="D417" s="128">
        <v>26497.14</v>
      </c>
      <c r="E417" s="128"/>
      <c r="F417" s="98">
        <v>26497.14</v>
      </c>
      <c r="G417" s="98"/>
      <c r="I417" t="str">
        <f>VLOOKUP(A417,bnc_Map!A:C,3,FALSE)</f>
        <v>[BnC-9I04] BnC Loan Interest</v>
      </c>
      <c r="J417" s="19">
        <v>-433181.86</v>
      </c>
      <c r="L417" s="20"/>
    </row>
    <row r="418" spans="1:12" x14ac:dyDescent="0.45">
      <c r="A418" s="97" t="s">
        <v>1636</v>
      </c>
      <c r="B418" s="97" t="s">
        <v>1637</v>
      </c>
      <c r="C418" s="97" t="s">
        <v>0</v>
      </c>
      <c r="D418" s="128">
        <v>4761.82</v>
      </c>
      <c r="E418" s="128"/>
      <c r="F418" s="98">
        <v>4761.82</v>
      </c>
      <c r="G418" s="98"/>
      <c r="I418" t="str">
        <f>VLOOKUP(A418,bnc_Map!A:C,3,FALSE)</f>
        <v>[BnC-9I04] BnC Loan Interest</v>
      </c>
      <c r="J418" s="19">
        <v>464440.82</v>
      </c>
      <c r="L418" s="20"/>
    </row>
    <row r="419" spans="1:12" x14ac:dyDescent="0.45">
      <c r="A419" s="97" t="s">
        <v>1638</v>
      </c>
      <c r="B419" s="97" t="s">
        <v>1639</v>
      </c>
      <c r="C419" s="97" t="s">
        <v>0</v>
      </c>
      <c r="D419" s="128">
        <v>4175.42</v>
      </c>
      <c r="E419" s="128"/>
      <c r="F419" s="98">
        <v>4175.42</v>
      </c>
      <c r="G419" s="98"/>
      <c r="I419" t="str">
        <f>VLOOKUP(A419,bnc_Map!A:C,3,FALSE)</f>
        <v>[BnC-9I04] BnC Loan Interest</v>
      </c>
      <c r="J419" s="19">
        <v>-455503.58</v>
      </c>
      <c r="L419" s="20"/>
    </row>
    <row r="420" spans="1:12" x14ac:dyDescent="0.45">
      <c r="A420" s="97" t="s">
        <v>1640</v>
      </c>
      <c r="B420" s="97" t="s">
        <v>1641</v>
      </c>
      <c r="C420" s="97" t="s">
        <v>0</v>
      </c>
      <c r="D420" s="128">
        <v>9008.9599999999991</v>
      </c>
      <c r="E420" s="128"/>
      <c r="F420" s="98">
        <v>9008.9599999999991</v>
      </c>
      <c r="G420" s="98"/>
      <c r="I420" t="str">
        <f>VLOOKUP(A420,bnc_Map!A:C,3,FALSE)</f>
        <v>[BnC-9I04] BnC Loan Interest</v>
      </c>
      <c r="J420" s="19">
        <v>468687.96</v>
      </c>
      <c r="L420" s="20"/>
    </row>
    <row r="421" spans="1:12" x14ac:dyDescent="0.45">
      <c r="A421" s="97" t="s">
        <v>1642</v>
      </c>
      <c r="B421" s="97" t="s">
        <v>1643</v>
      </c>
      <c r="C421" s="97" t="s">
        <v>0</v>
      </c>
      <c r="D421" s="128">
        <v>16722.89</v>
      </c>
      <c r="E421" s="128"/>
      <c r="F421" s="98">
        <v>16722.89</v>
      </c>
      <c r="G421" s="98"/>
      <c r="I421" t="str">
        <f>VLOOKUP(A421,bnc_Map!A:C,3,FALSE)</f>
        <v>[BnC-9I04] BnC Loan Interest</v>
      </c>
      <c r="J421" s="19">
        <v>-442956.11</v>
      </c>
      <c r="L421" s="20"/>
    </row>
    <row r="422" spans="1:12" x14ac:dyDescent="0.45">
      <c r="A422" s="97" t="s">
        <v>1644</v>
      </c>
      <c r="B422" s="97" t="s">
        <v>1645</v>
      </c>
      <c r="C422" s="97" t="s">
        <v>0</v>
      </c>
      <c r="D422" s="128">
        <v>2701.76</v>
      </c>
      <c r="E422" s="128"/>
      <c r="F422" s="98">
        <v>2701.76</v>
      </c>
      <c r="G422" s="98"/>
      <c r="I422" t="str">
        <f>VLOOKUP(A422,bnc_Map!A:C,3,FALSE)</f>
        <v>[BnC-9I04] BnC Loan Interest</v>
      </c>
      <c r="J422" s="19">
        <v>462380.76</v>
      </c>
      <c r="L422" s="20"/>
    </row>
    <row r="423" spans="1:12" x14ac:dyDescent="0.45">
      <c r="A423" s="97" t="s">
        <v>1646</v>
      </c>
      <c r="B423" s="97" t="s">
        <v>1647</v>
      </c>
      <c r="C423" s="97" t="s">
        <v>0</v>
      </c>
      <c r="D423" s="128">
        <v>478.17</v>
      </c>
      <c r="E423" s="128"/>
      <c r="F423" s="98">
        <v>478.17</v>
      </c>
      <c r="G423" s="98"/>
      <c r="I423" t="str">
        <f>VLOOKUP(A423,bnc_Map!A:C,3,FALSE)</f>
        <v>[BnC-9I04] BnC Loan Interest</v>
      </c>
      <c r="J423" s="19">
        <v>-459200.83</v>
      </c>
      <c r="L423" s="20"/>
    </row>
    <row r="424" spans="1:12" x14ac:dyDescent="0.45">
      <c r="A424" s="97" t="s">
        <v>757</v>
      </c>
      <c r="B424" s="97" t="s">
        <v>758</v>
      </c>
      <c r="C424" s="97" t="s">
        <v>0</v>
      </c>
      <c r="D424" s="128">
        <v>69656.42</v>
      </c>
      <c r="E424" s="128"/>
      <c r="F424" s="98">
        <v>11513.74</v>
      </c>
      <c r="G424" s="98"/>
      <c r="I424" t="str">
        <f>VLOOKUP(A424,bnc_Map!A:C,3,FALSE)</f>
        <v>[BnC-9L01] BnC Legal and Professional Fee</v>
      </c>
      <c r="J424" s="19">
        <v>529335.42000000004</v>
      </c>
      <c r="L424" s="20"/>
    </row>
    <row r="425" spans="1:12" x14ac:dyDescent="0.45">
      <c r="A425" s="97" t="s">
        <v>759</v>
      </c>
      <c r="B425" s="97" t="s">
        <v>760</v>
      </c>
      <c r="C425" s="97" t="s">
        <v>0</v>
      </c>
      <c r="D425" s="128">
        <v>16035</v>
      </c>
      <c r="E425" s="128"/>
      <c r="F425" s="98"/>
      <c r="G425" s="98"/>
      <c r="I425" t="str">
        <f>VLOOKUP(A425,bnc_Map!A:C,3,FALSE)</f>
        <v>[BnC-9L02] BnC License</v>
      </c>
      <c r="J425" s="19">
        <v>-443644</v>
      </c>
      <c r="L425" s="20"/>
    </row>
    <row r="426" spans="1:12" x14ac:dyDescent="0.45">
      <c r="A426" s="97" t="s">
        <v>761</v>
      </c>
      <c r="B426" s="97" t="s">
        <v>762</v>
      </c>
      <c r="C426" s="97" t="s">
        <v>0</v>
      </c>
      <c r="D426" s="128">
        <v>150000</v>
      </c>
      <c r="E426" s="128"/>
      <c r="F426" s="98">
        <v>12500</v>
      </c>
      <c r="G426" s="98"/>
      <c r="I426" t="str">
        <f>VLOOKUP(A426,bnc_Map!A:C,3,FALSE)</f>
        <v>[BnC-9L03] BnC Trademark License Fee</v>
      </c>
      <c r="J426" s="19">
        <v>609679</v>
      </c>
      <c r="L426" s="20"/>
    </row>
    <row r="427" spans="1:12" x14ac:dyDescent="0.45">
      <c r="A427" s="97" t="s">
        <v>763</v>
      </c>
      <c r="B427" s="97" t="s">
        <v>764</v>
      </c>
      <c r="C427" s="97" t="s">
        <v>0</v>
      </c>
      <c r="D427" s="128">
        <v>11308.12</v>
      </c>
      <c r="E427" s="128"/>
      <c r="F427" s="98">
        <v>1770.71</v>
      </c>
      <c r="G427" s="98"/>
      <c r="I427" t="str">
        <f>VLOOKUP(A427,bnc_Map!A:C,3,FALSE)</f>
        <v>[BnC-9M02] BnC Medical Fee</v>
      </c>
      <c r="J427" s="19">
        <v>-448370.88</v>
      </c>
      <c r="L427" s="20"/>
    </row>
    <row r="428" spans="1:12" x14ac:dyDescent="0.45">
      <c r="A428" s="97" t="s">
        <v>765</v>
      </c>
      <c r="B428" s="97" t="s">
        <v>766</v>
      </c>
      <c r="C428" s="97" t="s">
        <v>0</v>
      </c>
      <c r="D428" s="128">
        <v>13443.23</v>
      </c>
      <c r="E428" s="128"/>
      <c r="F428" s="98">
        <v>1629.32</v>
      </c>
      <c r="G428" s="98"/>
      <c r="I428" t="str">
        <f>VLOOKUP(A428,bnc_Map!A:C,3,FALSE)</f>
        <v>[BnC-9N01] BnC NETS Transaction Charges</v>
      </c>
      <c r="J428" s="19">
        <v>473122.23</v>
      </c>
      <c r="L428" s="20"/>
    </row>
    <row r="429" spans="1:12" x14ac:dyDescent="0.45">
      <c r="A429" s="97" t="s">
        <v>767</v>
      </c>
      <c r="B429" s="97" t="s">
        <v>768</v>
      </c>
      <c r="C429" s="97" t="s">
        <v>0</v>
      </c>
      <c r="D429" s="128">
        <v>3300</v>
      </c>
      <c r="E429" s="128"/>
      <c r="F429" s="98"/>
      <c r="G429" s="98"/>
      <c r="I429" t="str">
        <f>VLOOKUP(A429,bnc_Map!A:C,3,FALSE)</f>
        <v>[BnC-9O02] BnC Opening Ceremony Cost</v>
      </c>
      <c r="J429" s="19">
        <v>-456379</v>
      </c>
      <c r="L429" s="20"/>
    </row>
    <row r="430" spans="1:12" x14ac:dyDescent="0.45">
      <c r="A430" s="97" t="s">
        <v>769</v>
      </c>
      <c r="B430" s="97" t="s">
        <v>770</v>
      </c>
      <c r="C430" s="97" t="s">
        <v>0</v>
      </c>
      <c r="D430" s="128">
        <v>42299</v>
      </c>
      <c r="E430" s="128"/>
      <c r="F430" s="98">
        <v>2592</v>
      </c>
      <c r="G430" s="98"/>
      <c r="I430" t="str">
        <f>VLOOKUP(A430,bnc_Map!A:C,3,FALSE)</f>
        <v>[BnC-9P01] BnC HC - Electricity</v>
      </c>
      <c r="J430" s="19">
        <v>501978</v>
      </c>
      <c r="L430" s="20"/>
    </row>
    <row r="431" spans="1:12" x14ac:dyDescent="0.45">
      <c r="A431" s="97" t="s">
        <v>771</v>
      </c>
      <c r="B431" s="97" t="s">
        <v>772</v>
      </c>
      <c r="C431" s="97" t="s">
        <v>0</v>
      </c>
      <c r="D431" s="128">
        <v>20025.939999999999</v>
      </c>
      <c r="E431" s="128"/>
      <c r="F431" s="98">
        <v>1842.89</v>
      </c>
      <c r="G431" s="98"/>
      <c r="I431" t="str">
        <f>VLOOKUP(A431,bnc_Map!A:C,3,FALSE)</f>
        <v>[BnC-9P01] BnC HC - Electricity</v>
      </c>
      <c r="J431" s="19">
        <v>-439653.06</v>
      </c>
      <c r="L431" s="20"/>
    </row>
    <row r="432" spans="1:12" x14ac:dyDescent="0.45">
      <c r="A432" s="97" t="s">
        <v>773</v>
      </c>
      <c r="B432" s="97" t="s">
        <v>774</v>
      </c>
      <c r="C432" s="97" t="s">
        <v>0</v>
      </c>
      <c r="D432" s="128">
        <v>33218.85</v>
      </c>
      <c r="E432" s="128"/>
      <c r="F432" s="98">
        <v>2988.27</v>
      </c>
      <c r="G432" s="98"/>
      <c r="I432" t="str">
        <f>VLOOKUP(A432,bnc_Map!A:C,3,FALSE)</f>
        <v>[BnC-9P01] BnC HC - Electricity</v>
      </c>
      <c r="J432" s="19">
        <v>492897.85</v>
      </c>
      <c r="L432" s="20"/>
    </row>
    <row r="433" spans="1:12" x14ac:dyDescent="0.45">
      <c r="A433" s="97" t="s">
        <v>775</v>
      </c>
      <c r="B433" s="97" t="s">
        <v>776</v>
      </c>
      <c r="C433" s="97" t="s">
        <v>0</v>
      </c>
      <c r="D433" s="128">
        <v>13714.81</v>
      </c>
      <c r="E433" s="128"/>
      <c r="F433" s="98">
        <v>1140.92</v>
      </c>
      <c r="G433" s="98"/>
      <c r="I433" t="str">
        <f>VLOOKUP(A433,bnc_Map!A:C,3,FALSE)</f>
        <v>[BnC-9P01] BnC HC - Electricity</v>
      </c>
      <c r="J433" s="19">
        <v>-445964.19</v>
      </c>
      <c r="L433" s="20"/>
    </row>
    <row r="434" spans="1:12" x14ac:dyDescent="0.45">
      <c r="A434" s="97" t="s">
        <v>777</v>
      </c>
      <c r="B434" s="97" t="s">
        <v>778</v>
      </c>
      <c r="C434" s="97" t="s">
        <v>0</v>
      </c>
      <c r="D434" s="128">
        <v>29495.56</v>
      </c>
      <c r="E434" s="128"/>
      <c r="F434" s="98">
        <v>2715.52</v>
      </c>
      <c r="G434" s="98"/>
      <c r="I434" t="str">
        <f>VLOOKUP(A434,bnc_Map!A:C,3,FALSE)</f>
        <v>[BnC-9P01] BnC HC - Electricity</v>
      </c>
      <c r="J434" s="19">
        <v>489174.56</v>
      </c>
      <c r="L434" s="20"/>
    </row>
    <row r="435" spans="1:12" x14ac:dyDescent="0.45">
      <c r="A435" s="97" t="s">
        <v>779</v>
      </c>
      <c r="B435" s="97" t="s">
        <v>780</v>
      </c>
      <c r="C435" s="97" t="s">
        <v>0</v>
      </c>
      <c r="D435" s="128">
        <v>18114.28</v>
      </c>
      <c r="E435" s="128"/>
      <c r="F435" s="98">
        <v>1765.38</v>
      </c>
      <c r="G435" s="98"/>
      <c r="I435" t="str">
        <f>VLOOKUP(A435,bnc_Map!A:C,3,FALSE)</f>
        <v>[BnC-9P01] BnC HC - Electricity</v>
      </c>
      <c r="J435" s="19">
        <v>-441564.72</v>
      </c>
      <c r="L435" s="20"/>
    </row>
    <row r="436" spans="1:12" x14ac:dyDescent="0.45">
      <c r="A436" s="97" t="s">
        <v>781</v>
      </c>
      <c r="B436" s="97" t="s">
        <v>782</v>
      </c>
      <c r="C436" s="97" t="s">
        <v>0</v>
      </c>
      <c r="D436" s="128">
        <v>35453.230000000003</v>
      </c>
      <c r="E436" s="128"/>
      <c r="F436" s="98">
        <v>3899.01</v>
      </c>
      <c r="G436" s="98"/>
      <c r="I436" t="str">
        <f>VLOOKUP(A436,bnc_Map!A:C,3,FALSE)</f>
        <v>[BnC-9P01] BnC HC - Electricity</v>
      </c>
      <c r="J436" s="19">
        <v>495132.23</v>
      </c>
      <c r="L436" s="20"/>
    </row>
    <row r="437" spans="1:12" x14ac:dyDescent="0.45">
      <c r="A437" s="97" t="s">
        <v>783</v>
      </c>
      <c r="B437" s="97" t="s">
        <v>784</v>
      </c>
      <c r="C437" s="97" t="s">
        <v>0</v>
      </c>
      <c r="D437" s="128">
        <v>27844.22</v>
      </c>
      <c r="E437" s="128"/>
      <c r="F437" s="98">
        <v>2431.94</v>
      </c>
      <c r="G437" s="98"/>
      <c r="I437" t="str">
        <f>VLOOKUP(A437,bnc_Map!A:C,3,FALSE)</f>
        <v>[BnC-9P01] BnC HC - Electricity</v>
      </c>
      <c r="J437" s="19">
        <v>-431834.78</v>
      </c>
      <c r="L437" s="20"/>
    </row>
    <row r="438" spans="1:12" x14ac:dyDescent="0.45">
      <c r="A438" s="97" t="s">
        <v>785</v>
      </c>
      <c r="B438" s="97" t="s">
        <v>786</v>
      </c>
      <c r="C438" s="97" t="s">
        <v>0</v>
      </c>
      <c r="D438" s="128">
        <v>23788.21</v>
      </c>
      <c r="E438" s="128"/>
      <c r="F438" s="98">
        <v>2432.9</v>
      </c>
      <c r="G438" s="98"/>
      <c r="I438" t="str">
        <f>VLOOKUP(A438,bnc_Map!A:C,3,FALSE)</f>
        <v>[BnC-9P01] BnC HC - Electricity</v>
      </c>
      <c r="J438" s="19">
        <v>483467.21</v>
      </c>
      <c r="L438" s="20"/>
    </row>
    <row r="439" spans="1:12" x14ac:dyDescent="0.45">
      <c r="A439" s="97" t="s">
        <v>787</v>
      </c>
      <c r="B439" s="97" t="s">
        <v>788</v>
      </c>
      <c r="C439" s="97" t="s">
        <v>0</v>
      </c>
      <c r="D439" s="128">
        <v>32079.96</v>
      </c>
      <c r="E439" s="128"/>
      <c r="F439" s="98"/>
      <c r="G439" s="98"/>
      <c r="I439" t="str">
        <f>VLOOKUP(A439,bnc_Map!A:C,3,FALSE)</f>
        <v>[BnC-9P01] BnC HC - Electricity</v>
      </c>
      <c r="J439" s="19">
        <v>-427599.04</v>
      </c>
      <c r="L439" s="20"/>
    </row>
    <row r="440" spans="1:12" x14ac:dyDescent="0.45">
      <c r="A440" s="97" t="s">
        <v>789</v>
      </c>
      <c r="B440" s="97" t="s">
        <v>790</v>
      </c>
      <c r="C440" s="97" t="s">
        <v>0</v>
      </c>
      <c r="D440" s="128">
        <v>18692.830000000002</v>
      </c>
      <c r="E440" s="128"/>
      <c r="F440" s="98">
        <v>1901.94</v>
      </c>
      <c r="G440" s="98"/>
      <c r="I440" t="str">
        <f>VLOOKUP(A440,bnc_Map!A:C,3,FALSE)</f>
        <v>[BnC-9P01] BnC HC - Electricity</v>
      </c>
      <c r="J440" s="19">
        <v>478371.83</v>
      </c>
      <c r="L440" s="20"/>
    </row>
    <row r="441" spans="1:12" x14ac:dyDescent="0.45">
      <c r="A441" s="97" t="s">
        <v>791</v>
      </c>
      <c r="B441" s="97" t="s">
        <v>792</v>
      </c>
      <c r="C441" s="97" t="s">
        <v>0</v>
      </c>
      <c r="D441" s="128">
        <v>33158.6</v>
      </c>
      <c r="E441" s="128"/>
      <c r="F441" s="98">
        <v>16138.47</v>
      </c>
      <c r="G441" s="98"/>
      <c r="I441" t="str">
        <f>VLOOKUP(A441,bnc_Map!A:C,3,FALSE)</f>
        <v>[BnC-9P01] BnC HC - Electricity</v>
      </c>
      <c r="J441" s="19">
        <v>-426520.4</v>
      </c>
      <c r="L441" s="20"/>
    </row>
    <row r="442" spans="1:12" x14ac:dyDescent="0.45">
      <c r="A442" s="97" t="s">
        <v>793</v>
      </c>
      <c r="B442" s="97" t="s">
        <v>794</v>
      </c>
      <c r="C442" s="97" t="s">
        <v>0</v>
      </c>
      <c r="D442" s="128">
        <v>4176.32</v>
      </c>
      <c r="E442" s="128"/>
      <c r="F442" s="98">
        <v>2822.43</v>
      </c>
      <c r="G442" s="98"/>
      <c r="I442" t="str">
        <f>VLOOKUP(A442,bnc_Map!A:C,3,FALSE)</f>
        <v>[BnC-9P01] BnC HC - Electricity</v>
      </c>
      <c r="J442" s="19">
        <v>463855.32</v>
      </c>
      <c r="L442" s="20"/>
    </row>
    <row r="443" spans="1:12" x14ac:dyDescent="0.45">
      <c r="A443" s="97" t="s">
        <v>795</v>
      </c>
      <c r="B443" s="97" t="s">
        <v>796</v>
      </c>
      <c r="C443" s="97" t="s">
        <v>0</v>
      </c>
      <c r="D443" s="128">
        <v>19500</v>
      </c>
      <c r="E443" s="128"/>
      <c r="F443" s="98">
        <v>2080</v>
      </c>
      <c r="G443" s="98"/>
      <c r="I443" t="str">
        <f>VLOOKUP(A443,bnc_Map!A:C,3,FALSE)</f>
        <v>[BnC-9P01] BnC Gas</v>
      </c>
      <c r="J443" s="19">
        <v>-440179</v>
      </c>
      <c r="L443" s="20"/>
    </row>
    <row r="444" spans="1:12" x14ac:dyDescent="0.45">
      <c r="A444" s="97" t="s">
        <v>797</v>
      </c>
      <c r="B444" s="97" t="s">
        <v>798</v>
      </c>
      <c r="C444" s="97" t="s">
        <v>0</v>
      </c>
      <c r="D444" s="128">
        <v>18352</v>
      </c>
      <c r="E444" s="128"/>
      <c r="F444" s="98">
        <v>1858</v>
      </c>
      <c r="G444" s="98"/>
      <c r="I444" t="str">
        <f>VLOOKUP(A444,bnc_Map!A:C,3,FALSE)</f>
        <v>[BnC-9P01] BnC Gas</v>
      </c>
      <c r="J444" s="19">
        <v>478031</v>
      </c>
      <c r="L444" s="20"/>
    </row>
    <row r="445" spans="1:12" x14ac:dyDescent="0.45">
      <c r="A445" s="97" t="s">
        <v>799</v>
      </c>
      <c r="B445" s="97" t="s">
        <v>800</v>
      </c>
      <c r="C445" s="97" t="s">
        <v>0</v>
      </c>
      <c r="D445" s="128">
        <v>7276.26</v>
      </c>
      <c r="E445" s="128"/>
      <c r="F445" s="98">
        <v>520</v>
      </c>
      <c r="G445" s="98"/>
      <c r="I445" t="str">
        <f>VLOOKUP(A445,bnc_Map!A:C,3,FALSE)</f>
        <v>[BnC-9P01] BnC Gas</v>
      </c>
      <c r="J445" s="19">
        <v>-452402.74</v>
      </c>
      <c r="L445" s="20"/>
    </row>
    <row r="446" spans="1:12" x14ac:dyDescent="0.45">
      <c r="A446" s="97" t="s">
        <v>801</v>
      </c>
      <c r="B446" s="97" t="s">
        <v>802</v>
      </c>
      <c r="C446" s="97" t="s">
        <v>0</v>
      </c>
      <c r="D446" s="128">
        <v>19500</v>
      </c>
      <c r="E446" s="128"/>
      <c r="F446" s="98">
        <v>1560</v>
      </c>
      <c r="G446" s="98"/>
      <c r="I446" t="str">
        <f>VLOOKUP(A446,bnc_Map!A:C,3,FALSE)</f>
        <v>[BnC-9P01] BnC Gas</v>
      </c>
      <c r="J446" s="19">
        <v>479179</v>
      </c>
      <c r="L446" s="20"/>
    </row>
    <row r="447" spans="1:12" x14ac:dyDescent="0.45">
      <c r="A447" s="97" t="s">
        <v>803</v>
      </c>
      <c r="B447" s="97" t="s">
        <v>804</v>
      </c>
      <c r="C447" s="97" t="s">
        <v>0</v>
      </c>
      <c r="D447" s="128">
        <v>19240</v>
      </c>
      <c r="E447" s="128"/>
      <c r="F447" s="98">
        <v>1820</v>
      </c>
      <c r="G447" s="98"/>
      <c r="I447" t="str">
        <f>VLOOKUP(A447,bnc_Map!A:C,3,FALSE)</f>
        <v>[BnC-9P01] BnC Gas</v>
      </c>
      <c r="J447" s="19">
        <v>-440439</v>
      </c>
      <c r="L447" s="20"/>
    </row>
    <row r="448" spans="1:12" x14ac:dyDescent="0.45">
      <c r="A448" s="97" t="s">
        <v>805</v>
      </c>
      <c r="B448" s="97" t="s">
        <v>806</v>
      </c>
      <c r="C448" s="97" t="s">
        <v>0</v>
      </c>
      <c r="D448" s="128">
        <v>27300</v>
      </c>
      <c r="E448" s="128"/>
      <c r="F448" s="98">
        <v>2600</v>
      </c>
      <c r="G448" s="98"/>
      <c r="I448" t="str">
        <f>VLOOKUP(A448,bnc_Map!A:C,3,FALSE)</f>
        <v>[BnC-9P01] BnC Gas</v>
      </c>
      <c r="J448" s="19">
        <v>486979</v>
      </c>
      <c r="K448" s="104"/>
      <c r="L448" s="20"/>
    </row>
    <row r="449" spans="1:12" x14ac:dyDescent="0.45">
      <c r="A449" s="97" t="s">
        <v>807</v>
      </c>
      <c r="B449" s="97" t="s">
        <v>808</v>
      </c>
      <c r="C449" s="97" t="s">
        <v>0</v>
      </c>
      <c r="D449" s="128">
        <v>18519.45</v>
      </c>
      <c r="E449" s="128"/>
      <c r="F449" s="98">
        <v>1678</v>
      </c>
      <c r="G449" s="98"/>
      <c r="I449" t="str">
        <f>VLOOKUP(A449,bnc_Map!A:C,3,FALSE)</f>
        <v>[BnC-9P01] BnC Gas</v>
      </c>
      <c r="J449" s="19">
        <v>-441159.55</v>
      </c>
      <c r="K449" s="159"/>
      <c r="L449" s="20"/>
    </row>
    <row r="450" spans="1:12" x14ac:dyDescent="0.45">
      <c r="A450" s="97" t="s">
        <v>809</v>
      </c>
      <c r="B450" s="97" t="s">
        <v>810</v>
      </c>
      <c r="C450" s="97" t="s">
        <v>0</v>
      </c>
      <c r="D450" s="128">
        <v>3120</v>
      </c>
      <c r="E450" s="128"/>
      <c r="F450" s="98">
        <v>1560</v>
      </c>
      <c r="G450" s="98"/>
      <c r="I450" t="str">
        <f>VLOOKUP(A450,bnc_Map!A:C,3,FALSE)</f>
        <v>[BnC-9P01] BnC Gas</v>
      </c>
      <c r="J450" s="19">
        <v>462799</v>
      </c>
      <c r="L450" s="20"/>
    </row>
    <row r="451" spans="1:12" x14ac:dyDescent="0.45">
      <c r="A451" s="97" t="s">
        <v>811</v>
      </c>
      <c r="B451" s="97" t="s">
        <v>812</v>
      </c>
      <c r="C451" s="97" t="s">
        <v>0</v>
      </c>
      <c r="D451" s="128">
        <v>1471.89</v>
      </c>
      <c r="E451" s="128"/>
      <c r="F451" s="98">
        <v>123.33</v>
      </c>
      <c r="G451" s="98"/>
      <c r="I451" t="str">
        <f>VLOOKUP(A451,bnc_Map!A:C,3,FALSE)</f>
        <v>[BnC-9P02] BnC Pest Control</v>
      </c>
      <c r="J451" s="19">
        <v>-458207.11</v>
      </c>
      <c r="L451" s="20"/>
    </row>
    <row r="452" spans="1:12" x14ac:dyDescent="0.45">
      <c r="A452" s="97" t="s">
        <v>813</v>
      </c>
      <c r="B452" s="97" t="s">
        <v>814</v>
      </c>
      <c r="C452" s="97" t="s">
        <v>0</v>
      </c>
      <c r="D452" s="128">
        <v>1193.46</v>
      </c>
      <c r="E452" s="128"/>
      <c r="F452" s="98">
        <v>100</v>
      </c>
      <c r="G452" s="98"/>
      <c r="I452" t="str">
        <f>VLOOKUP(A452,bnc_Map!A:C,3,FALSE)</f>
        <v>[BnC-9P02] BnC Pest Control</v>
      </c>
      <c r="J452" s="19">
        <v>460872.46</v>
      </c>
      <c r="L452" s="20"/>
    </row>
    <row r="453" spans="1:12" x14ac:dyDescent="0.45">
      <c r="A453" s="97" t="s">
        <v>815</v>
      </c>
      <c r="B453" s="97" t="s">
        <v>816</v>
      </c>
      <c r="C453" s="97" t="s">
        <v>0</v>
      </c>
      <c r="D453" s="128">
        <v>775.75</v>
      </c>
      <c r="E453" s="128"/>
      <c r="F453" s="98">
        <v>65</v>
      </c>
      <c r="G453" s="98"/>
      <c r="I453" t="str">
        <f>VLOOKUP(A453,bnc_Map!A:C,3,FALSE)</f>
        <v>[BnC-9P02] BnC Pest Control</v>
      </c>
      <c r="J453" s="19">
        <v>-458903.25</v>
      </c>
      <c r="L453" s="20"/>
    </row>
    <row r="454" spans="1:12" x14ac:dyDescent="0.45">
      <c r="A454" s="97" t="s">
        <v>817</v>
      </c>
      <c r="B454" s="97" t="s">
        <v>818</v>
      </c>
      <c r="C454" s="97" t="s">
        <v>0</v>
      </c>
      <c r="D454" s="128">
        <v>775.75</v>
      </c>
      <c r="E454" s="128"/>
      <c r="F454" s="98">
        <v>65</v>
      </c>
      <c r="G454" s="98"/>
      <c r="I454" t="str">
        <f>VLOOKUP(A454,bnc_Map!A:C,3,FALSE)</f>
        <v>[BnC-9P02] BnC Pest Control</v>
      </c>
      <c r="J454" s="19">
        <v>460454.75</v>
      </c>
      <c r="L454" s="20"/>
    </row>
    <row r="455" spans="1:12" x14ac:dyDescent="0.45">
      <c r="A455" s="97" t="s">
        <v>819</v>
      </c>
      <c r="B455" s="97" t="s">
        <v>820</v>
      </c>
      <c r="C455" s="97" t="s">
        <v>0</v>
      </c>
      <c r="D455" s="128">
        <v>775.75</v>
      </c>
      <c r="E455" s="128"/>
      <c r="F455" s="98">
        <v>65</v>
      </c>
      <c r="G455" s="98"/>
      <c r="I455" t="str">
        <f>VLOOKUP(A455,bnc_Map!A:C,3,FALSE)</f>
        <v>[BnC-9P02] BnC Pest Control</v>
      </c>
      <c r="J455" s="19">
        <v>-458903.25</v>
      </c>
      <c r="L455" s="20"/>
    </row>
    <row r="456" spans="1:12" x14ac:dyDescent="0.45">
      <c r="A456" s="97" t="s">
        <v>821</v>
      </c>
      <c r="B456" s="97" t="s">
        <v>822</v>
      </c>
      <c r="C456" s="97" t="s">
        <v>0</v>
      </c>
      <c r="D456" s="128">
        <v>775.75</v>
      </c>
      <c r="E456" s="128"/>
      <c r="F456" s="98">
        <v>65</v>
      </c>
      <c r="G456" s="98"/>
      <c r="I456" t="str">
        <f>VLOOKUP(A456,bnc_Map!A:C,3,FALSE)</f>
        <v>[BnC-9P02] BnC Pest Control</v>
      </c>
      <c r="J456" s="19">
        <v>460454.75</v>
      </c>
      <c r="L456" s="20"/>
    </row>
    <row r="457" spans="1:12" x14ac:dyDescent="0.45">
      <c r="A457" s="97" t="s">
        <v>823</v>
      </c>
      <c r="B457" s="97" t="s">
        <v>824</v>
      </c>
      <c r="C457" s="97" t="s">
        <v>0</v>
      </c>
      <c r="D457" s="128">
        <v>1074.1099999999999</v>
      </c>
      <c r="E457" s="128"/>
      <c r="F457" s="98">
        <v>90</v>
      </c>
      <c r="G457" s="98"/>
      <c r="I457" t="str">
        <f>VLOOKUP(A457,bnc_Map!A:C,3,FALSE)</f>
        <v>[BnC-9P02] BnC Pest Control</v>
      </c>
      <c r="J457" s="19">
        <v>-458604.89</v>
      </c>
      <c r="L457" s="20"/>
    </row>
    <row r="458" spans="1:12" x14ac:dyDescent="0.45">
      <c r="A458" s="97" t="s">
        <v>825</v>
      </c>
      <c r="B458" s="97" t="s">
        <v>826</v>
      </c>
      <c r="C458" s="97" t="s">
        <v>0</v>
      </c>
      <c r="D458" s="128">
        <v>1471.89</v>
      </c>
      <c r="E458" s="128"/>
      <c r="F458" s="98">
        <v>123.33</v>
      </c>
      <c r="G458" s="98"/>
      <c r="I458" t="str">
        <f>VLOOKUP(A458,bnc_Map!A:C,3,FALSE)</f>
        <v>[BnC-9P02] BnC Pest Control</v>
      </c>
      <c r="J458" s="19">
        <v>461150.89</v>
      </c>
      <c r="L458" s="20"/>
    </row>
    <row r="459" spans="1:12" x14ac:dyDescent="0.45">
      <c r="A459" s="97" t="s">
        <v>827</v>
      </c>
      <c r="B459" s="97" t="s">
        <v>828</v>
      </c>
      <c r="C459" s="97" t="s">
        <v>0</v>
      </c>
      <c r="D459" s="128">
        <v>775.75</v>
      </c>
      <c r="E459" s="128"/>
      <c r="F459" s="98">
        <v>65</v>
      </c>
      <c r="G459" s="98"/>
      <c r="I459" t="str">
        <f>VLOOKUP(A459,bnc_Map!A:C,3,FALSE)</f>
        <v>[BnC-9P02] BnC Pest Control</v>
      </c>
      <c r="J459" s="19">
        <v>-458903.25</v>
      </c>
      <c r="L459" s="20"/>
    </row>
    <row r="460" spans="1:12" x14ac:dyDescent="0.45">
      <c r="A460" s="97" t="s">
        <v>829</v>
      </c>
      <c r="B460" s="97" t="s">
        <v>830</v>
      </c>
      <c r="C460" s="97" t="s">
        <v>0</v>
      </c>
      <c r="D460" s="128">
        <v>1445.84</v>
      </c>
      <c r="E460" s="128"/>
      <c r="F460" s="98">
        <v>140</v>
      </c>
      <c r="G460" s="98"/>
      <c r="I460" t="str">
        <f>VLOOKUP(A460,bnc_Map!A:C,3,FALSE)</f>
        <v>[BnC-9P02] BnC Pest Control</v>
      </c>
      <c r="J460" s="19">
        <v>461124.84</v>
      </c>
      <c r="L460" s="20"/>
    </row>
    <row r="461" spans="1:12" x14ac:dyDescent="0.45">
      <c r="A461" s="97" t="s">
        <v>831</v>
      </c>
      <c r="B461" s="97" t="s">
        <v>832</v>
      </c>
      <c r="C461" s="97" t="s">
        <v>0</v>
      </c>
      <c r="D461" s="128">
        <v>1909.53</v>
      </c>
      <c r="E461" s="128"/>
      <c r="F461" s="98">
        <v>160</v>
      </c>
      <c r="G461" s="98"/>
      <c r="I461" t="str">
        <f>VLOOKUP(A461,bnc_Map!A:C,3,FALSE)</f>
        <v>[BnC-9P02] BnC Pest Control</v>
      </c>
      <c r="J461" s="19">
        <v>-457769.47</v>
      </c>
      <c r="L461" s="20"/>
    </row>
    <row r="462" spans="1:12" x14ac:dyDescent="0.45">
      <c r="A462" s="97" t="s">
        <v>833</v>
      </c>
      <c r="B462" s="97" t="s">
        <v>834</v>
      </c>
      <c r="C462" s="97" t="s">
        <v>0</v>
      </c>
      <c r="D462" s="128">
        <v>775.75</v>
      </c>
      <c r="E462" s="128"/>
      <c r="F462" s="98">
        <v>65</v>
      </c>
      <c r="G462" s="98"/>
      <c r="I462" t="str">
        <f>VLOOKUP(A462,bnc_Map!A:C,3,FALSE)</f>
        <v>[BnC-9P02] BnC Pest Control</v>
      </c>
      <c r="J462" s="19">
        <v>460454.75</v>
      </c>
      <c r="L462" s="20"/>
    </row>
    <row r="463" spans="1:12" x14ac:dyDescent="0.45">
      <c r="A463" s="97" t="s">
        <v>835</v>
      </c>
      <c r="B463" s="97" t="s">
        <v>836</v>
      </c>
      <c r="C463" s="97" t="s">
        <v>0</v>
      </c>
      <c r="D463" s="128">
        <v>1594.95</v>
      </c>
      <c r="E463" s="128"/>
      <c r="F463" s="98">
        <v>230</v>
      </c>
      <c r="G463" s="98"/>
      <c r="I463" t="str">
        <f>VLOOKUP(A463,bnc_Map!A:C,3,FALSE)</f>
        <v>[BnC-9P02] BnC Pest Control</v>
      </c>
      <c r="J463" s="19">
        <v>-458084.05</v>
      </c>
      <c r="L463" s="20"/>
    </row>
    <row r="464" spans="1:12" x14ac:dyDescent="0.45">
      <c r="A464" s="97" t="s">
        <v>837</v>
      </c>
      <c r="B464" s="97" t="s">
        <v>838</v>
      </c>
      <c r="C464" s="97" t="s">
        <v>0</v>
      </c>
      <c r="D464" s="128">
        <v>235</v>
      </c>
      <c r="E464" s="128"/>
      <c r="F464" s="98">
        <v>117.5</v>
      </c>
      <c r="G464" s="98"/>
      <c r="I464" t="str">
        <f>VLOOKUP(A464,bnc_Map!A:C,3,FALSE)</f>
        <v>[BnC-9P02] BnC Pest Control</v>
      </c>
      <c r="J464" s="19">
        <v>459914</v>
      </c>
      <c r="L464" s="20"/>
    </row>
    <row r="465" spans="1:12" x14ac:dyDescent="0.45">
      <c r="A465" s="97" t="s">
        <v>839</v>
      </c>
      <c r="B465" s="97" t="s">
        <v>840</v>
      </c>
      <c r="C465" s="97" t="s">
        <v>0</v>
      </c>
      <c r="D465" s="128">
        <v>33933.910000000003</v>
      </c>
      <c r="E465" s="128"/>
      <c r="F465" s="98">
        <v>2377.1</v>
      </c>
      <c r="G465" s="98"/>
      <c r="I465" t="str">
        <f>VLOOKUP(A465,bnc_Map!A:C,3,FALSE)</f>
        <v>[BnC-9P03] BnC Printing</v>
      </c>
      <c r="J465" s="19">
        <v>-425745.08999999997</v>
      </c>
      <c r="L465" s="20"/>
    </row>
    <row r="466" spans="1:12" x14ac:dyDescent="0.45">
      <c r="A466" s="97" t="s">
        <v>841</v>
      </c>
      <c r="B466" s="97" t="s">
        <v>842</v>
      </c>
      <c r="C466" s="97" t="s">
        <v>0</v>
      </c>
      <c r="D466" s="128">
        <v>200</v>
      </c>
      <c r="E466" s="128"/>
      <c r="F466" s="98"/>
      <c r="G466" s="98"/>
      <c r="I466" t="str">
        <f>VLOOKUP(A466,bnc_Map!A:C,3,FALSE)</f>
        <v>[BnC-9P04] BnC Printing</v>
      </c>
      <c r="J466" s="19">
        <v>459879</v>
      </c>
      <c r="L466" s="20"/>
    </row>
    <row r="467" spans="1:12" x14ac:dyDescent="0.45">
      <c r="A467" s="97" t="s">
        <v>843</v>
      </c>
      <c r="B467" s="97" t="s">
        <v>844</v>
      </c>
      <c r="C467" s="97" t="s">
        <v>0</v>
      </c>
      <c r="D467" s="128">
        <v>3195.91</v>
      </c>
      <c r="E467" s="128"/>
      <c r="F467" s="98"/>
      <c r="G467" s="98"/>
      <c r="I467" t="str">
        <f>VLOOKUP(A467,bnc_Map!A:C,3,FALSE)</f>
        <v>[BnC-9P05] BnC PR Service</v>
      </c>
      <c r="J467" s="19">
        <v>-456483.09</v>
      </c>
      <c r="L467" s="20"/>
    </row>
    <row r="468" spans="1:12" x14ac:dyDescent="0.45">
      <c r="A468" s="97" t="s">
        <v>845</v>
      </c>
      <c r="B468" s="97" t="s">
        <v>846</v>
      </c>
      <c r="C468" s="97" t="s">
        <v>0</v>
      </c>
      <c r="D468" s="128">
        <v>2609.6</v>
      </c>
      <c r="E468" s="128"/>
      <c r="F468" s="98">
        <v>233.25</v>
      </c>
      <c r="G468" s="98"/>
      <c r="I468" t="str">
        <f>VLOOKUP(A468,bnc_Map!A:C,3,FALSE)</f>
        <v>[BnC-9P06] BnC POS System Fee</v>
      </c>
      <c r="J468" s="19">
        <v>462288.6</v>
      </c>
      <c r="L468" s="20"/>
    </row>
    <row r="469" spans="1:12" x14ac:dyDescent="0.45">
      <c r="A469" s="97" t="s">
        <v>847</v>
      </c>
      <c r="B469" s="97" t="s">
        <v>848</v>
      </c>
      <c r="C469" s="97" t="s">
        <v>0</v>
      </c>
      <c r="D469" s="128">
        <v>3294.39</v>
      </c>
      <c r="E469" s="128"/>
      <c r="F469" s="98">
        <v>274.20999999999998</v>
      </c>
      <c r="G469" s="98"/>
      <c r="I469" t="str">
        <f>VLOOKUP(A469,bnc_Map!A:C,3,FALSE)</f>
        <v>[BnC-9P06] BnC POS System Fee</v>
      </c>
      <c r="J469" s="19">
        <v>-456384.61</v>
      </c>
      <c r="L469" s="20"/>
    </row>
    <row r="470" spans="1:12" x14ac:dyDescent="0.45">
      <c r="A470" s="97" t="s">
        <v>849</v>
      </c>
      <c r="B470" s="97" t="s">
        <v>850</v>
      </c>
      <c r="C470" s="97" t="s">
        <v>0</v>
      </c>
      <c r="D470" s="128">
        <v>2892.95</v>
      </c>
      <c r="E470" s="128"/>
      <c r="F470" s="98">
        <v>231</v>
      </c>
      <c r="G470" s="98"/>
      <c r="I470" t="str">
        <f>VLOOKUP(A470,bnc_Map!A:C,3,FALSE)</f>
        <v>[BnC-9P06] BnC POS System Fee</v>
      </c>
      <c r="J470" s="19">
        <v>462571.95</v>
      </c>
      <c r="L470" s="20"/>
    </row>
    <row r="471" spans="1:12" x14ac:dyDescent="0.45">
      <c r="A471" s="97" t="s">
        <v>851</v>
      </c>
      <c r="B471" s="97" t="s">
        <v>852</v>
      </c>
      <c r="C471" s="97" t="s">
        <v>0</v>
      </c>
      <c r="D471" s="128">
        <v>4515.6099999999997</v>
      </c>
      <c r="E471" s="128"/>
      <c r="F471" s="98">
        <v>367.65</v>
      </c>
      <c r="G471" s="98"/>
      <c r="I471" t="str">
        <f>VLOOKUP(A471,bnc_Map!A:C,3,FALSE)</f>
        <v>[BnC-9P06] BnC POS System Fee</v>
      </c>
      <c r="J471" s="19">
        <v>-455163.39</v>
      </c>
      <c r="L471" s="20"/>
    </row>
    <row r="472" spans="1:12" x14ac:dyDescent="0.45">
      <c r="A472" s="97" t="s">
        <v>853</v>
      </c>
      <c r="B472" s="97" t="s">
        <v>854</v>
      </c>
      <c r="C472" s="97" t="s">
        <v>0</v>
      </c>
      <c r="D472" s="128">
        <v>2673.36</v>
      </c>
      <c r="E472" s="128"/>
      <c r="F472" s="98">
        <v>212.1</v>
      </c>
      <c r="G472" s="98"/>
      <c r="I472" t="str">
        <f>VLOOKUP(A472,bnc_Map!A:C,3,FALSE)</f>
        <v>[BnC-9P06] BnC POS System Fee</v>
      </c>
      <c r="J472" s="19">
        <v>462352.36</v>
      </c>
      <c r="L472" s="20"/>
    </row>
    <row r="473" spans="1:12" x14ac:dyDescent="0.45">
      <c r="A473" s="97" t="s">
        <v>855</v>
      </c>
      <c r="B473" s="97" t="s">
        <v>856</v>
      </c>
      <c r="C473" s="97" t="s">
        <v>0</v>
      </c>
      <c r="D473" s="128">
        <v>3894.6</v>
      </c>
      <c r="E473" s="128"/>
      <c r="F473" s="98">
        <v>649.95000000000005</v>
      </c>
      <c r="G473" s="98"/>
      <c r="I473" t="str">
        <f>VLOOKUP(A473,bnc_Map!A:C,3,FALSE)</f>
        <v>[BnC-9P06] BnC POS System Fee</v>
      </c>
      <c r="J473" s="19">
        <v>-455784.4</v>
      </c>
      <c r="L473" s="20"/>
    </row>
    <row r="474" spans="1:12" x14ac:dyDescent="0.45">
      <c r="A474" s="97" t="s">
        <v>857</v>
      </c>
      <c r="B474" s="97" t="s">
        <v>858</v>
      </c>
      <c r="C474" s="97" t="s">
        <v>0</v>
      </c>
      <c r="D474" s="128">
        <v>2631.4</v>
      </c>
      <c r="E474" s="128"/>
      <c r="F474" s="98"/>
      <c r="G474" s="98"/>
      <c r="I474" t="str">
        <f>VLOOKUP(A474,bnc_Map!A:C,3,FALSE)</f>
        <v>[BnC-9P06] BnC POS System Fee</v>
      </c>
      <c r="J474" s="19">
        <v>462310.40000000002</v>
      </c>
      <c r="L474" s="20"/>
    </row>
    <row r="475" spans="1:12" x14ac:dyDescent="0.45">
      <c r="A475" s="97" t="s">
        <v>859</v>
      </c>
      <c r="B475" s="97" t="s">
        <v>860</v>
      </c>
      <c r="C475" s="97" t="s">
        <v>0</v>
      </c>
      <c r="D475" s="128">
        <v>3678.48</v>
      </c>
      <c r="E475" s="128"/>
      <c r="F475" s="98">
        <v>316.60000000000002</v>
      </c>
      <c r="G475" s="98"/>
      <c r="I475" t="str">
        <f>VLOOKUP(A475,bnc_Map!A:C,3,FALSE)</f>
        <v>[BnC-9P06] BnC POS System Fee</v>
      </c>
      <c r="J475" s="19">
        <v>-456000.52</v>
      </c>
      <c r="L475" s="20"/>
    </row>
    <row r="476" spans="1:12" x14ac:dyDescent="0.45">
      <c r="A476" s="97" t="s">
        <v>861</v>
      </c>
      <c r="B476" s="97" t="s">
        <v>862</v>
      </c>
      <c r="C476" s="97" t="s">
        <v>0</v>
      </c>
      <c r="D476" s="128">
        <v>3678.48</v>
      </c>
      <c r="E476" s="128"/>
      <c r="F476" s="98">
        <v>316.60000000000002</v>
      </c>
      <c r="G476" s="98"/>
      <c r="I476" t="str">
        <f>VLOOKUP(A476,bnc_Map!A:C,3,FALSE)</f>
        <v>[BnC-9P06] BnC POS System Fee</v>
      </c>
      <c r="J476" s="19">
        <v>463357.48</v>
      </c>
      <c r="L476" s="20"/>
    </row>
    <row r="477" spans="1:12" x14ac:dyDescent="0.45">
      <c r="A477" s="97" t="s">
        <v>863</v>
      </c>
      <c r="B477" s="97" t="s">
        <v>864</v>
      </c>
      <c r="C477" s="97" t="s">
        <v>0</v>
      </c>
      <c r="D477" s="128">
        <v>3788.28</v>
      </c>
      <c r="E477" s="128"/>
      <c r="F477" s="98">
        <v>326.05</v>
      </c>
      <c r="G477" s="98"/>
      <c r="I477" t="str">
        <f>VLOOKUP(A477,bnc_Map!A:C,3,FALSE)</f>
        <v>[BnC-9P06] BnC POS System Fee</v>
      </c>
      <c r="J477" s="19">
        <v>-455890.72</v>
      </c>
      <c r="L477" s="20"/>
    </row>
    <row r="478" spans="1:12" x14ac:dyDescent="0.45">
      <c r="A478" s="97" t="s">
        <v>865</v>
      </c>
      <c r="B478" s="97" t="s">
        <v>866</v>
      </c>
      <c r="C478" s="97" t="s">
        <v>0</v>
      </c>
      <c r="D478" s="128">
        <v>3389.32</v>
      </c>
      <c r="E478" s="128"/>
      <c r="F478" s="98">
        <v>291.70999999999998</v>
      </c>
      <c r="G478" s="98"/>
      <c r="I478" t="str">
        <f>VLOOKUP(A478,bnc_Map!A:C,3,FALSE)</f>
        <v>[BnC-9P06] BnC POS System Fee</v>
      </c>
      <c r="J478" s="19">
        <v>463068.32</v>
      </c>
      <c r="L478" s="20"/>
    </row>
    <row r="479" spans="1:12" x14ac:dyDescent="0.45">
      <c r="A479" s="97" t="s">
        <v>867</v>
      </c>
      <c r="B479" s="97" t="s">
        <v>868</v>
      </c>
      <c r="C479" s="97" t="s">
        <v>0</v>
      </c>
      <c r="D479" s="128">
        <v>1064.83</v>
      </c>
      <c r="E479" s="128"/>
      <c r="F479" s="98">
        <v>266.20999999999998</v>
      </c>
      <c r="G479" s="98"/>
      <c r="I479" t="str">
        <f>VLOOKUP(A479,bnc_Map!A:C,3,FALSE)</f>
        <v>[BnC-9P06] BnC POS System Fee</v>
      </c>
      <c r="J479" s="19">
        <v>460743.83</v>
      </c>
      <c r="K479" s="16"/>
      <c r="L479" s="20"/>
    </row>
    <row r="480" spans="1:12" x14ac:dyDescent="0.45">
      <c r="A480" s="97" t="s">
        <v>869</v>
      </c>
      <c r="B480" s="97" t="s">
        <v>870</v>
      </c>
      <c r="C480" s="97" t="s">
        <v>0</v>
      </c>
      <c r="D480" s="128">
        <v>14631</v>
      </c>
      <c r="E480" s="128"/>
      <c r="F480" s="98">
        <v>2059.5</v>
      </c>
      <c r="G480" s="98"/>
      <c r="I480" t="str">
        <f>VLOOKUP(A480,bnc_Map!A:C,3,FALSE)</f>
        <v>[BnC-9P07] BnC Payroll System</v>
      </c>
      <c r="J480" s="19">
        <v>474310</v>
      </c>
      <c r="K480" s="16"/>
      <c r="L480" s="20"/>
    </row>
    <row r="481" spans="1:12" x14ac:dyDescent="0.45">
      <c r="A481" s="97" t="s">
        <v>871</v>
      </c>
      <c r="B481" s="97" t="s">
        <v>872</v>
      </c>
      <c r="C481" s="97" t="s">
        <v>0</v>
      </c>
      <c r="D481" s="128">
        <v>11326.01</v>
      </c>
      <c r="E481" s="128"/>
      <c r="F481" s="98">
        <v>814.55</v>
      </c>
      <c r="G481" s="98"/>
      <c r="I481" t="str">
        <f>VLOOKUP(A481,bnc_Map!A:C,3,FALSE)</f>
        <v>[BnC-9R01] BnC Rubbish Removal</v>
      </c>
      <c r="J481" s="19">
        <v>471005.01</v>
      </c>
      <c r="K481" s="16"/>
      <c r="L481" s="20"/>
    </row>
    <row r="482" spans="1:12" x14ac:dyDescent="0.45">
      <c r="A482" s="97" t="s">
        <v>873</v>
      </c>
      <c r="B482" s="97" t="s">
        <v>874</v>
      </c>
      <c r="C482" s="97" t="s">
        <v>0</v>
      </c>
      <c r="D482" s="128">
        <v>6250.87</v>
      </c>
      <c r="E482" s="128"/>
      <c r="F482" s="98">
        <v>524.41999999999996</v>
      </c>
      <c r="G482" s="98"/>
      <c r="I482" t="str">
        <f>VLOOKUP(A482,bnc_Map!A:C,3,FALSE)</f>
        <v>[BnC-9R01] BnC Rubbish Removal</v>
      </c>
      <c r="J482" s="19">
        <v>465929.87</v>
      </c>
      <c r="K482" s="16"/>
      <c r="L482" s="20"/>
    </row>
    <row r="483" spans="1:12" x14ac:dyDescent="0.45">
      <c r="A483" s="97" t="s">
        <v>875</v>
      </c>
      <c r="B483" s="97" t="s">
        <v>876</v>
      </c>
      <c r="C483" s="97" t="s">
        <v>0</v>
      </c>
      <c r="D483" s="128">
        <v>7019.11</v>
      </c>
      <c r="E483" s="128"/>
      <c r="F483" s="98">
        <v>586.94000000000005</v>
      </c>
      <c r="G483" s="98"/>
      <c r="I483" t="str">
        <f>VLOOKUP(A483,bnc_Map!A:C,3,FALSE)</f>
        <v>[BnC-9R01] BnC Rubbish Removal</v>
      </c>
      <c r="J483" s="19">
        <v>466698.11</v>
      </c>
      <c r="K483" s="16"/>
      <c r="L483" s="20"/>
    </row>
    <row r="484" spans="1:12" x14ac:dyDescent="0.45">
      <c r="A484" s="97" t="s">
        <v>877</v>
      </c>
      <c r="B484" s="97" t="s">
        <v>878</v>
      </c>
      <c r="C484" s="97" t="s">
        <v>0</v>
      </c>
      <c r="D484" s="128">
        <v>6743.7</v>
      </c>
      <c r="E484" s="128"/>
      <c r="F484" s="98">
        <v>564.24</v>
      </c>
      <c r="G484" s="98"/>
      <c r="I484" t="str">
        <f>VLOOKUP(A484,bnc_Map!A:C,3,FALSE)</f>
        <v>[BnC-9R01] BnC Rubbish Removal</v>
      </c>
      <c r="J484" s="19">
        <v>466422.7</v>
      </c>
      <c r="K484" s="16"/>
      <c r="L484" s="20"/>
    </row>
    <row r="485" spans="1:12" x14ac:dyDescent="0.45">
      <c r="A485" s="97" t="s">
        <v>879</v>
      </c>
      <c r="B485" s="97" t="s">
        <v>880</v>
      </c>
      <c r="C485" s="97" t="s">
        <v>0</v>
      </c>
      <c r="D485" s="128">
        <v>946.32</v>
      </c>
      <c r="E485" s="128"/>
      <c r="F485" s="98">
        <v>79.64</v>
      </c>
      <c r="G485" s="98"/>
      <c r="I485" t="str">
        <f>VLOOKUP(A485,bnc_Map!A:C,3,FALSE)</f>
        <v>[BnC-9R01] BnC Rubbish Removal</v>
      </c>
      <c r="J485" s="19">
        <v>460625.32</v>
      </c>
      <c r="K485" s="16"/>
      <c r="L485" s="20"/>
    </row>
    <row r="486" spans="1:12" x14ac:dyDescent="0.45">
      <c r="A486" s="97" t="s">
        <v>881</v>
      </c>
      <c r="B486" s="97" t="s">
        <v>882</v>
      </c>
      <c r="C486" s="97" t="s">
        <v>0</v>
      </c>
      <c r="D486" s="128">
        <v>6231.48</v>
      </c>
      <c r="E486" s="128"/>
      <c r="F486" s="98">
        <v>524.41999999999996</v>
      </c>
      <c r="G486" s="98"/>
      <c r="I486" t="str">
        <f>VLOOKUP(A486,bnc_Map!A:C,3,FALSE)</f>
        <v>[BnC-9R01] BnC Rubbish Removal</v>
      </c>
      <c r="J486" s="19">
        <v>465910.48</v>
      </c>
      <c r="K486" s="16"/>
      <c r="L486" s="20"/>
    </row>
    <row r="487" spans="1:12" x14ac:dyDescent="0.45">
      <c r="A487" s="97" t="s">
        <v>883</v>
      </c>
      <c r="B487" s="97" t="s">
        <v>884</v>
      </c>
      <c r="C487" s="97" t="s">
        <v>0</v>
      </c>
      <c r="D487" s="128">
        <v>5423.64</v>
      </c>
      <c r="E487" s="128"/>
      <c r="F487" s="98">
        <v>398.06</v>
      </c>
      <c r="G487" s="98"/>
      <c r="I487" t="str">
        <f>VLOOKUP(A487,bnc_Map!A:C,3,FALSE)</f>
        <v>[BnC-9R01] BnC Rubbish Removal</v>
      </c>
      <c r="J487" s="19">
        <v>-454255.35999999999</v>
      </c>
      <c r="K487" s="16"/>
      <c r="L487" s="20"/>
    </row>
    <row r="488" spans="1:12" x14ac:dyDescent="0.45">
      <c r="A488" s="97" t="s">
        <v>885</v>
      </c>
      <c r="B488" s="97" t="s">
        <v>886</v>
      </c>
      <c r="C488" s="97" t="s">
        <v>0</v>
      </c>
      <c r="D488" s="128">
        <v>8113.58</v>
      </c>
      <c r="E488" s="128"/>
      <c r="F488" s="98">
        <v>780</v>
      </c>
      <c r="G488" s="98"/>
      <c r="I488" t="str">
        <f>VLOOKUP(A488,bnc_Map!A:C,3,FALSE)</f>
        <v>[BnC-9R01] BnC Rubbish Removal</v>
      </c>
      <c r="J488" s="19">
        <v>-451565.42</v>
      </c>
      <c r="K488" s="16"/>
      <c r="L488" s="20"/>
    </row>
    <row r="489" spans="1:12" x14ac:dyDescent="0.45">
      <c r="A489" s="97" t="s">
        <v>887</v>
      </c>
      <c r="B489" s="97" t="s">
        <v>888</v>
      </c>
      <c r="C489" s="97" t="s">
        <v>0</v>
      </c>
      <c r="D489" s="128">
        <v>4008.35</v>
      </c>
      <c r="E489" s="128"/>
      <c r="F489" s="98"/>
      <c r="G489" s="98"/>
      <c r="I489" t="str">
        <f>VLOOKUP(A489,bnc_Map!A:C,3,FALSE)</f>
        <v>[BnC-9R01] BnC Rubbish Removal</v>
      </c>
      <c r="J489" s="19">
        <v>-455670.65</v>
      </c>
      <c r="K489" s="16"/>
      <c r="L489" s="20"/>
    </row>
    <row r="490" spans="1:12" x14ac:dyDescent="0.45">
      <c r="A490" s="97" t="s">
        <v>889</v>
      </c>
      <c r="B490" s="97" t="s">
        <v>890</v>
      </c>
      <c r="C490" s="97" t="s">
        <v>0</v>
      </c>
      <c r="D490" s="128">
        <v>2614.2800000000002</v>
      </c>
      <c r="E490" s="128"/>
      <c r="F490" s="98">
        <v>248.86</v>
      </c>
      <c r="G490" s="98"/>
      <c r="I490" t="str">
        <f>VLOOKUP(A490,bnc_Map!A:C,3,FALSE)</f>
        <v>[BnC-9R01] BnC Rubbish Removal</v>
      </c>
      <c r="J490" s="19">
        <v>-457064.72</v>
      </c>
      <c r="K490" s="16"/>
      <c r="L490" s="20"/>
    </row>
    <row r="491" spans="1:12" x14ac:dyDescent="0.45">
      <c r="A491" s="97" t="s">
        <v>891</v>
      </c>
      <c r="B491" s="97" t="s">
        <v>892</v>
      </c>
      <c r="C491" s="97" t="s">
        <v>0</v>
      </c>
      <c r="D491" s="128">
        <v>1590.5</v>
      </c>
      <c r="E491" s="128"/>
      <c r="F491" s="98">
        <v>524.41999999999996</v>
      </c>
      <c r="G491" s="98"/>
      <c r="I491" t="str">
        <f>VLOOKUP(A491,bnc_Map!A:C,3,FALSE)</f>
        <v>[BnC-9R01] BnC Rubbish Removal</v>
      </c>
      <c r="J491" s="19">
        <v>-458088.5</v>
      </c>
      <c r="K491" s="16"/>
      <c r="L491" s="20"/>
    </row>
    <row r="492" spans="1:12" x14ac:dyDescent="0.45">
      <c r="A492" s="97" t="s">
        <v>893</v>
      </c>
      <c r="B492" s="97" t="s">
        <v>894</v>
      </c>
      <c r="C492" s="97" t="s">
        <v>0</v>
      </c>
      <c r="D492" s="128">
        <v>8411.5</v>
      </c>
      <c r="E492" s="128"/>
      <c r="F492" s="98">
        <v>383.67</v>
      </c>
      <c r="G492" s="98"/>
      <c r="I492" t="str">
        <f>VLOOKUP(A492,bnc_Map!A:C,3,FALSE)</f>
        <v>[BnC-9R02] BnC Repair &amp; Maintainance</v>
      </c>
      <c r="J492" s="19">
        <v>-451267.5</v>
      </c>
      <c r="K492" s="16"/>
      <c r="L492" s="20"/>
    </row>
    <row r="493" spans="1:12" x14ac:dyDescent="0.45">
      <c r="A493" s="97" t="s">
        <v>895</v>
      </c>
      <c r="B493" s="97" t="s">
        <v>896</v>
      </c>
      <c r="C493" s="97" t="s">
        <v>0</v>
      </c>
      <c r="D493" s="128">
        <v>13191.09</v>
      </c>
      <c r="E493" s="128"/>
      <c r="F493" s="98">
        <v>926</v>
      </c>
      <c r="G493" s="98"/>
      <c r="I493" t="str">
        <f>VLOOKUP(A493,bnc_Map!A:C,3,FALSE)</f>
        <v>[BnC-9R02] BnC Repair &amp; Maintainance</v>
      </c>
      <c r="J493" s="19">
        <v>-446487.91</v>
      </c>
      <c r="K493" s="16"/>
      <c r="L493" s="20"/>
    </row>
    <row r="494" spans="1:12" x14ac:dyDescent="0.45">
      <c r="A494" s="97" t="s">
        <v>897</v>
      </c>
      <c r="B494" s="97" t="s">
        <v>898</v>
      </c>
      <c r="C494" s="97" t="s">
        <v>0</v>
      </c>
      <c r="D494" s="128">
        <v>13924.05</v>
      </c>
      <c r="E494" s="128"/>
      <c r="F494" s="98">
        <v>1668</v>
      </c>
      <c r="G494" s="98"/>
      <c r="I494" t="str">
        <f>VLOOKUP(A494,bnc_Map!A:C,3,FALSE)</f>
        <v>[BnC-9R02] BnC Repair &amp; Maintainance</v>
      </c>
      <c r="J494" s="19">
        <v>-445754.95</v>
      </c>
      <c r="K494" s="16"/>
      <c r="L494" s="20"/>
    </row>
    <row r="495" spans="1:12" x14ac:dyDescent="0.45">
      <c r="A495" s="97" t="s">
        <v>899</v>
      </c>
      <c r="B495" s="97" t="s">
        <v>900</v>
      </c>
      <c r="C495" s="97" t="s">
        <v>0</v>
      </c>
      <c r="D495" s="128">
        <v>3261.69</v>
      </c>
      <c r="E495" s="128"/>
      <c r="F495" s="98"/>
      <c r="G495" s="98"/>
      <c r="I495" t="str">
        <f>VLOOKUP(A495,bnc_Map!A:C,3,FALSE)</f>
        <v>[BnC-9R02] BnC Repair &amp; Maintainance</v>
      </c>
      <c r="J495" s="19">
        <v>-456417.31</v>
      </c>
      <c r="K495" s="16"/>
      <c r="L495" s="20"/>
    </row>
    <row r="496" spans="1:12" x14ac:dyDescent="0.45">
      <c r="A496" s="97" t="s">
        <v>901</v>
      </c>
      <c r="B496" s="97" t="s">
        <v>902</v>
      </c>
      <c r="C496" s="97" t="s">
        <v>0</v>
      </c>
      <c r="D496" s="128">
        <v>17856.5</v>
      </c>
      <c r="E496" s="128"/>
      <c r="F496" s="98">
        <v>1892.86</v>
      </c>
      <c r="G496" s="98"/>
      <c r="I496" t="str">
        <f>VLOOKUP(A496,bnc_Map!A:C,3,FALSE)</f>
        <v>[BnC-9R02] BnC Repair &amp; Maintainance</v>
      </c>
      <c r="J496" s="19">
        <v>-441822.5</v>
      </c>
      <c r="K496" s="16"/>
      <c r="L496" s="20"/>
    </row>
    <row r="497" spans="1:12" x14ac:dyDescent="0.45">
      <c r="A497" s="97" t="s">
        <v>903</v>
      </c>
      <c r="B497" s="97" t="s">
        <v>904</v>
      </c>
      <c r="C497" s="97" t="s">
        <v>0</v>
      </c>
      <c r="D497" s="128">
        <v>10404.709999999999</v>
      </c>
      <c r="E497" s="128"/>
      <c r="F497" s="98">
        <v>831</v>
      </c>
      <c r="G497" s="98"/>
      <c r="I497" t="str">
        <f>VLOOKUP(A497,bnc_Map!A:C,3,FALSE)</f>
        <v>[BnC-9R02] BnC Repair &amp; Maintainance</v>
      </c>
      <c r="J497" s="19">
        <v>-449274.29</v>
      </c>
      <c r="K497" s="16"/>
      <c r="L497" s="20"/>
    </row>
    <row r="498" spans="1:12" x14ac:dyDescent="0.45">
      <c r="A498" s="97" t="s">
        <v>905</v>
      </c>
      <c r="B498" s="97" t="s">
        <v>906</v>
      </c>
      <c r="C498" s="97" t="s">
        <v>0</v>
      </c>
      <c r="D498" s="128">
        <v>5882.47</v>
      </c>
      <c r="E498" s="128"/>
      <c r="F498" s="98">
        <v>1613.33</v>
      </c>
      <c r="G498" s="98"/>
      <c r="I498" t="str">
        <f>VLOOKUP(A498,bnc_Map!A:C,3,FALSE)</f>
        <v>[BnC-9R02] BnC Repair &amp; Maintainance</v>
      </c>
      <c r="J498" s="19">
        <v>-453796.53</v>
      </c>
      <c r="K498" s="16"/>
      <c r="L498" s="20"/>
    </row>
    <row r="499" spans="1:12" x14ac:dyDescent="0.45">
      <c r="A499" s="97" t="s">
        <v>907</v>
      </c>
      <c r="B499" s="97" t="s">
        <v>908</v>
      </c>
      <c r="C499" s="97" t="s">
        <v>0</v>
      </c>
      <c r="D499" s="128">
        <v>13174.72</v>
      </c>
      <c r="E499" s="128"/>
      <c r="F499" s="98">
        <v>451</v>
      </c>
      <c r="G499" s="98"/>
      <c r="I499" t="str">
        <f>VLOOKUP(A499,bnc_Map!A:C,3,FALSE)</f>
        <v>[BnC-9R02] BnC Repair &amp; Maintainance</v>
      </c>
      <c r="J499" s="19">
        <v>-446504.28</v>
      </c>
      <c r="K499" s="16"/>
      <c r="L499" s="20"/>
    </row>
    <row r="500" spans="1:12" x14ac:dyDescent="0.45">
      <c r="A500" s="97" t="s">
        <v>909</v>
      </c>
      <c r="B500" s="97" t="s">
        <v>910</v>
      </c>
      <c r="C500" s="97" t="s">
        <v>0</v>
      </c>
      <c r="D500" s="128">
        <v>12422.37</v>
      </c>
      <c r="E500" s="128"/>
      <c r="F500" s="98">
        <v>270</v>
      </c>
      <c r="G500" s="98"/>
      <c r="I500" t="str">
        <f>VLOOKUP(A500,bnc_Map!A:C,3,FALSE)</f>
        <v>[BnC-9R02] BnC Repair &amp; Maintainance</v>
      </c>
      <c r="J500" s="19">
        <v>-447256.63</v>
      </c>
      <c r="K500" s="16"/>
      <c r="L500" s="20"/>
    </row>
    <row r="501" spans="1:12" x14ac:dyDescent="0.45">
      <c r="A501" s="97" t="s">
        <v>911</v>
      </c>
      <c r="B501" s="97" t="s">
        <v>912</v>
      </c>
      <c r="C501" s="97" t="s">
        <v>0</v>
      </c>
      <c r="D501" s="128">
        <v>15316.27</v>
      </c>
      <c r="E501" s="128"/>
      <c r="F501" s="98">
        <v>1834.67</v>
      </c>
      <c r="G501" s="98"/>
      <c r="I501" t="str">
        <f>VLOOKUP(A501,bnc_Map!A:C,3,FALSE)</f>
        <v>[BnC-9R02] BnC Repair &amp; Maintainance</v>
      </c>
      <c r="J501" s="19">
        <v>-444362.73</v>
      </c>
      <c r="K501" s="16"/>
      <c r="L501" s="20"/>
    </row>
    <row r="502" spans="1:12" x14ac:dyDescent="0.45">
      <c r="A502" s="97" t="s">
        <v>913</v>
      </c>
      <c r="B502" s="97" t="s">
        <v>914</v>
      </c>
      <c r="C502" s="97" t="s">
        <v>0</v>
      </c>
      <c r="D502" s="128">
        <v>16198.34</v>
      </c>
      <c r="E502" s="128"/>
      <c r="F502" s="98">
        <v>2359.33</v>
      </c>
      <c r="G502" s="98"/>
      <c r="I502" t="str">
        <f>VLOOKUP(A502,bnc_Map!A:C,3,FALSE)</f>
        <v>[BnC-9R02] BnC Repair &amp; Maintainance</v>
      </c>
      <c r="J502" s="19">
        <v>-443480.66</v>
      </c>
      <c r="K502" s="16"/>
      <c r="L502" s="20"/>
    </row>
    <row r="503" spans="1:12" x14ac:dyDescent="0.45">
      <c r="A503" s="97" t="s">
        <v>915</v>
      </c>
      <c r="B503" s="97" t="s">
        <v>916</v>
      </c>
      <c r="C503" s="97" t="s">
        <v>0</v>
      </c>
      <c r="D503" s="128">
        <v>27098.94</v>
      </c>
      <c r="E503" s="128"/>
      <c r="F503" s="98">
        <v>2885</v>
      </c>
      <c r="G503" s="98"/>
      <c r="I503" t="str">
        <f>VLOOKUP(A503,bnc_Map!A:C,3,FALSE)</f>
        <v>[BnC-9R02] BnC Repair &amp; Maintainance</v>
      </c>
      <c r="J503" s="19">
        <v>-432580.06</v>
      </c>
      <c r="K503" s="16"/>
      <c r="L503" s="20"/>
    </row>
    <row r="504" spans="1:12" x14ac:dyDescent="0.45">
      <c r="A504" s="97" t="s">
        <v>917</v>
      </c>
      <c r="B504" s="97" t="s">
        <v>918</v>
      </c>
      <c r="C504" s="97" t="s">
        <v>0</v>
      </c>
      <c r="D504" s="128">
        <v>12610.87</v>
      </c>
      <c r="E504" s="128"/>
      <c r="F504" s="98">
        <v>1666.1</v>
      </c>
      <c r="G504" s="98"/>
      <c r="I504" t="str">
        <f>VLOOKUP(A504,bnc_Map!A:C,3,FALSE)</f>
        <v>[BnC-9R02] BnC Repair &amp; Maintainance</v>
      </c>
      <c r="J504" s="19">
        <v>-447068.13</v>
      </c>
      <c r="K504" s="16"/>
      <c r="L504" s="20"/>
    </row>
    <row r="505" spans="1:12" x14ac:dyDescent="0.45">
      <c r="A505" s="97" t="s">
        <v>919</v>
      </c>
      <c r="B505" s="97" t="s">
        <v>920</v>
      </c>
      <c r="C505" s="97" t="s">
        <v>0</v>
      </c>
      <c r="D505" s="128">
        <v>2620</v>
      </c>
      <c r="E505" s="128"/>
      <c r="F505" s="98">
        <v>1700</v>
      </c>
      <c r="G505" s="98"/>
      <c r="I505" t="str">
        <f>VLOOKUP(A505,bnc_Map!A:C,3,FALSE)</f>
        <v>[BnC-9R02] BnC Repair &amp; Maintainance</v>
      </c>
      <c r="J505" s="19">
        <v>-457059</v>
      </c>
      <c r="K505" s="16"/>
      <c r="L505" s="20"/>
    </row>
    <row r="506" spans="1:12" x14ac:dyDescent="0.45">
      <c r="A506" s="97" t="s">
        <v>921</v>
      </c>
      <c r="B506" s="97" t="s">
        <v>922</v>
      </c>
      <c r="C506" s="97" t="s">
        <v>0</v>
      </c>
      <c r="D506" s="128">
        <v>7535</v>
      </c>
      <c r="E506" s="128"/>
      <c r="F506" s="98">
        <v>3625</v>
      </c>
      <c r="G506" s="98"/>
      <c r="I506" t="str">
        <f>VLOOKUP(A506,bnc_Map!A:C,3,FALSE)</f>
        <v>[BnC-9R02] BnC Repair &amp; Maintainance</v>
      </c>
      <c r="J506" s="19">
        <v>-452144</v>
      </c>
      <c r="K506" s="16"/>
      <c r="L506" s="20"/>
    </row>
    <row r="507" spans="1:12" x14ac:dyDescent="0.45">
      <c r="A507" s="97" t="s">
        <v>923</v>
      </c>
      <c r="B507" s="97" t="s">
        <v>924</v>
      </c>
      <c r="C507" s="97" t="s">
        <v>0</v>
      </c>
      <c r="D507" s="128"/>
      <c r="E507" s="128"/>
      <c r="F507" s="98"/>
      <c r="G507" s="98">
        <v>85250</v>
      </c>
      <c r="I507" t="str">
        <f>VLOOKUP(A507,bnc_Map!A:C,3,FALSE)</f>
        <v>[BnC-9R03] BnC Rental</v>
      </c>
      <c r="J507" s="19">
        <v>0</v>
      </c>
      <c r="K507" s="16"/>
      <c r="L507" s="20"/>
    </row>
    <row r="508" spans="1:12" x14ac:dyDescent="0.45">
      <c r="A508" s="97" t="s">
        <v>925</v>
      </c>
      <c r="B508" s="97" t="s">
        <v>926</v>
      </c>
      <c r="C508" s="97" t="s">
        <v>0</v>
      </c>
      <c r="D508" s="128"/>
      <c r="E508" s="128"/>
      <c r="F508" s="98"/>
      <c r="G508" s="98">
        <v>95771.7</v>
      </c>
      <c r="I508" t="str">
        <f>VLOOKUP(A508,bnc_Map!A:C,3,FALSE)</f>
        <v>[BnC-9R03] BnC Rental</v>
      </c>
      <c r="J508" s="19">
        <v>0</v>
      </c>
      <c r="K508" s="16"/>
      <c r="L508" s="20"/>
    </row>
    <row r="509" spans="1:12" x14ac:dyDescent="0.45">
      <c r="A509" s="97" t="s">
        <v>927</v>
      </c>
      <c r="B509" s="97" t="s">
        <v>928</v>
      </c>
      <c r="C509" s="97" t="s">
        <v>0</v>
      </c>
      <c r="D509" s="128">
        <v>30241.29</v>
      </c>
      <c r="E509" s="128"/>
      <c r="F509" s="98"/>
      <c r="G509" s="98">
        <v>140541.97</v>
      </c>
      <c r="I509" t="str">
        <f>VLOOKUP(A509,bnc_Map!A:C,3,FALSE)</f>
        <v>[BnC-9R03] BnC Rental</v>
      </c>
      <c r="J509" s="19">
        <v>489920.29</v>
      </c>
      <c r="K509" s="16"/>
      <c r="L509" s="20"/>
    </row>
    <row r="510" spans="1:12" x14ac:dyDescent="0.45">
      <c r="A510" s="97" t="s">
        <v>929</v>
      </c>
      <c r="B510" s="97" t="s">
        <v>930</v>
      </c>
      <c r="C510" s="97" t="s">
        <v>0</v>
      </c>
      <c r="D510" s="128">
        <v>15153.92</v>
      </c>
      <c r="E510" s="128"/>
      <c r="F510" s="98"/>
      <c r="G510" s="98">
        <v>54600.4</v>
      </c>
      <c r="I510" t="str">
        <f>VLOOKUP(A510,bnc_Map!A:C,3,FALSE)</f>
        <v>[BnC-9R03] BnC Rental</v>
      </c>
      <c r="J510" s="19">
        <v>474832.92</v>
      </c>
      <c r="K510" s="16"/>
      <c r="L510" s="20"/>
    </row>
    <row r="511" spans="1:12" x14ac:dyDescent="0.45">
      <c r="A511" s="97" t="s">
        <v>931</v>
      </c>
      <c r="B511" s="97" t="s">
        <v>932</v>
      </c>
      <c r="C511" s="97" t="s">
        <v>0</v>
      </c>
      <c r="D511" s="128"/>
      <c r="E511" s="128"/>
      <c r="F511" s="98"/>
      <c r="G511" s="98">
        <v>165000</v>
      </c>
      <c r="I511" t="str">
        <f>VLOOKUP(A511,bnc_Map!A:C,3,FALSE)</f>
        <v>[BnC-9R03] BnC Rental</v>
      </c>
      <c r="J511" s="19">
        <v>459679</v>
      </c>
      <c r="K511" s="16"/>
      <c r="L511" s="20"/>
    </row>
    <row r="512" spans="1:12" x14ac:dyDescent="0.45">
      <c r="A512" s="97" t="s">
        <v>933</v>
      </c>
      <c r="B512" s="97" t="s">
        <v>934</v>
      </c>
      <c r="C512" s="97" t="s">
        <v>0</v>
      </c>
      <c r="D512" s="128"/>
      <c r="E512" s="128"/>
      <c r="F512" s="98"/>
      <c r="G512" s="98">
        <v>52800</v>
      </c>
      <c r="I512" t="str">
        <f>VLOOKUP(A512,bnc_Map!A:C,3,FALSE)</f>
        <v>[BnC-9R03] BnC Rental</v>
      </c>
      <c r="J512" s="19">
        <v>459679</v>
      </c>
      <c r="K512" s="16"/>
      <c r="L512" s="20"/>
    </row>
    <row r="513" spans="1:12" x14ac:dyDescent="0.45">
      <c r="A513" s="97" t="s">
        <v>935</v>
      </c>
      <c r="B513" s="97" t="s">
        <v>936</v>
      </c>
      <c r="C513" s="97" t="s">
        <v>0</v>
      </c>
      <c r="D513" s="128">
        <v>1200</v>
      </c>
      <c r="E513" s="128"/>
      <c r="F513" s="98"/>
      <c r="G513" s="98">
        <v>82400</v>
      </c>
      <c r="I513" t="str">
        <f>VLOOKUP(A513,bnc_Map!A:C,3,FALSE)</f>
        <v>[BnC-9R03] BnC Rental</v>
      </c>
      <c r="J513" s="19">
        <v>460879</v>
      </c>
      <c r="K513" s="16"/>
      <c r="L513" s="20"/>
    </row>
    <row r="514" spans="1:12" x14ac:dyDescent="0.45">
      <c r="A514" s="97" t="s">
        <v>937</v>
      </c>
      <c r="B514" s="97" t="s">
        <v>938</v>
      </c>
      <c r="C514" s="97" t="s">
        <v>0</v>
      </c>
      <c r="D514" s="128">
        <v>3600</v>
      </c>
      <c r="E514" s="128"/>
      <c r="F514" s="98"/>
      <c r="G514" s="98">
        <v>31400</v>
      </c>
      <c r="I514" t="str">
        <f>VLOOKUP(A514,bnc_Map!A:C,3,FALSE)</f>
        <v>[BnC-9R03] BnC Rental</v>
      </c>
      <c r="J514" s="19">
        <v>3600</v>
      </c>
      <c r="K514" s="16"/>
      <c r="L514" s="20"/>
    </row>
    <row r="515" spans="1:12" x14ac:dyDescent="0.45">
      <c r="A515" s="97" t="s">
        <v>939</v>
      </c>
      <c r="B515" s="97" t="s">
        <v>940</v>
      </c>
      <c r="C515" s="97" t="s">
        <v>0</v>
      </c>
      <c r="D515" s="128"/>
      <c r="E515" s="128"/>
      <c r="F515" s="98"/>
      <c r="G515" s="98">
        <v>120000</v>
      </c>
      <c r="I515" t="str">
        <f>VLOOKUP(A515,bnc_Map!A:C,3,FALSE)</f>
        <v>[BnC-9R03] BnC Rental</v>
      </c>
      <c r="J515" s="19">
        <v>459679</v>
      </c>
      <c r="K515" s="16"/>
      <c r="L515" s="20"/>
    </row>
    <row r="516" spans="1:12" x14ac:dyDescent="0.45">
      <c r="A516" s="97" t="s">
        <v>941</v>
      </c>
      <c r="B516" s="97" t="s">
        <v>942</v>
      </c>
      <c r="C516" s="97" t="s">
        <v>0</v>
      </c>
      <c r="D516" s="128"/>
      <c r="E516" s="128"/>
      <c r="F516" s="98"/>
      <c r="G516" s="98">
        <v>127050</v>
      </c>
      <c r="I516" t="str">
        <f>VLOOKUP(A516,bnc_Map!A:C,3,FALSE)</f>
        <v>[BnC-9R03] BnC Rental</v>
      </c>
      <c r="J516" s="19">
        <v>459679</v>
      </c>
      <c r="K516" s="16"/>
      <c r="L516" s="20"/>
    </row>
    <row r="517" spans="1:12" x14ac:dyDescent="0.45">
      <c r="A517" s="97" t="s">
        <v>943</v>
      </c>
      <c r="B517" s="97" t="s">
        <v>944</v>
      </c>
      <c r="C517" s="97" t="s">
        <v>0</v>
      </c>
      <c r="D517" s="128"/>
      <c r="E517" s="128"/>
      <c r="F517" s="98"/>
      <c r="G517" s="98">
        <v>63800</v>
      </c>
      <c r="I517" t="str">
        <f>VLOOKUP(A517,bnc_Map!A:C,3,FALSE)</f>
        <v>[BnC-9R03] BnC Rental</v>
      </c>
      <c r="J517" s="19">
        <v>459679</v>
      </c>
      <c r="K517" s="16"/>
      <c r="L517" s="20"/>
    </row>
    <row r="518" spans="1:12" x14ac:dyDescent="0.45">
      <c r="A518" s="97" t="s">
        <v>945</v>
      </c>
      <c r="B518" s="97" t="s">
        <v>946</v>
      </c>
      <c r="C518" s="97" t="s">
        <v>0</v>
      </c>
      <c r="D518" s="128"/>
      <c r="E518" s="128"/>
      <c r="F518" s="98"/>
      <c r="G518" s="98">
        <v>198000</v>
      </c>
      <c r="I518" t="str">
        <f>VLOOKUP(A518,bnc_Map!A:C,3,FALSE)</f>
        <v>[BnC-9R03] BnC Rental</v>
      </c>
      <c r="J518" s="19">
        <v>459679</v>
      </c>
      <c r="K518" s="16"/>
      <c r="L518" s="20"/>
    </row>
    <row r="519" spans="1:12" x14ac:dyDescent="0.45">
      <c r="A519" s="97" t="s">
        <v>947</v>
      </c>
      <c r="B519" s="97" t="s">
        <v>948</v>
      </c>
      <c r="C519" s="97" t="s">
        <v>0</v>
      </c>
      <c r="D519" s="128"/>
      <c r="E519" s="128"/>
      <c r="F519" s="98"/>
      <c r="G519" s="98">
        <v>126060</v>
      </c>
      <c r="I519" t="str">
        <f>VLOOKUP(A519,bnc_Map!A:C,3,FALSE)</f>
        <v>[BnC-9R03] BnC Rental</v>
      </c>
      <c r="J519" s="19">
        <v>459679</v>
      </c>
      <c r="K519" s="16"/>
      <c r="L519" s="20"/>
    </row>
    <row r="520" spans="1:12" x14ac:dyDescent="0.45">
      <c r="A520" s="97" t="s">
        <v>949</v>
      </c>
      <c r="B520" s="97" t="s">
        <v>950</v>
      </c>
      <c r="C520" s="97" t="s">
        <v>0</v>
      </c>
      <c r="D520" s="128">
        <v>200</v>
      </c>
      <c r="E520" s="128"/>
      <c r="F520" s="98"/>
      <c r="G520" s="98">
        <v>42800</v>
      </c>
      <c r="I520" t="str">
        <f>VLOOKUP(A520,bnc_Map!A:C,3,FALSE)</f>
        <v>[BnC-9R03] BnC Rental</v>
      </c>
      <c r="J520" s="19">
        <v>459879</v>
      </c>
      <c r="K520" s="16"/>
      <c r="L520" s="20"/>
    </row>
    <row r="521" spans="1:12" x14ac:dyDescent="0.45">
      <c r="A521" s="97" t="s">
        <v>951</v>
      </c>
      <c r="B521" s="97" t="s">
        <v>952</v>
      </c>
      <c r="C521" s="97" t="s">
        <v>0</v>
      </c>
      <c r="D521" s="128"/>
      <c r="E521" s="128"/>
      <c r="F521" s="98"/>
      <c r="G521" s="98">
        <v>20250</v>
      </c>
      <c r="I521" t="str">
        <f>VLOOKUP(A521,bnc_Map!A:C,3,FALSE)</f>
        <v>[BnC-9R03] BnC Rental</v>
      </c>
      <c r="J521" s="19">
        <v>459679</v>
      </c>
      <c r="K521" s="16"/>
      <c r="L521" s="20"/>
    </row>
    <row r="522" spans="1:12" x14ac:dyDescent="0.45">
      <c r="A522" s="97" t="s">
        <v>953</v>
      </c>
      <c r="B522" s="97" t="s">
        <v>954</v>
      </c>
      <c r="C522" s="97" t="s">
        <v>0</v>
      </c>
      <c r="D522" s="128"/>
      <c r="E522" s="128"/>
      <c r="F522" s="98"/>
      <c r="G522" s="98">
        <v>16500</v>
      </c>
      <c r="I522" t="str">
        <f>VLOOKUP(A522,bnc_Map!A:C,3,FALSE)</f>
        <v>[BnC-9R04] BnC Car Rental</v>
      </c>
      <c r="J522" s="19">
        <v>-459679</v>
      </c>
      <c r="K522" s="16"/>
      <c r="L522" s="20"/>
    </row>
    <row r="523" spans="1:12" x14ac:dyDescent="0.45">
      <c r="A523" s="97" t="s">
        <v>955</v>
      </c>
      <c r="B523" s="97" t="s">
        <v>956</v>
      </c>
      <c r="C523" s="97" t="s">
        <v>0</v>
      </c>
      <c r="D523" s="128">
        <v>230462.6</v>
      </c>
      <c r="E523" s="128"/>
      <c r="F523" s="98">
        <v>20264.79</v>
      </c>
      <c r="G523" s="98"/>
      <c r="I523" t="str">
        <f>VLOOKUP(A523,bnc_Map!A:C,3,FALSE)</f>
        <v>[BnC-9S01] BnC Foreign Worker Levy</v>
      </c>
      <c r="J523" s="19">
        <v>690141.6</v>
      </c>
      <c r="K523" s="16"/>
      <c r="L523" s="20"/>
    </row>
    <row r="524" spans="1:12" x14ac:dyDescent="0.45">
      <c r="A524" s="97" t="s">
        <v>957</v>
      </c>
      <c r="B524" s="97" t="s">
        <v>958</v>
      </c>
      <c r="C524" s="97" t="s">
        <v>0</v>
      </c>
      <c r="D524" s="128">
        <v>433423</v>
      </c>
      <c r="E524" s="128"/>
      <c r="F524" s="98">
        <v>42529</v>
      </c>
      <c r="G524" s="98"/>
      <c r="I524" t="str">
        <f>VLOOKUP(A524,bnc_Map!A:C,3,FALSE)</f>
        <v>[BnC-9S02] BnC Employer CPF</v>
      </c>
      <c r="J524" s="19">
        <v>-26256</v>
      </c>
      <c r="K524" s="16"/>
      <c r="L524" s="20"/>
    </row>
    <row r="525" spans="1:12" x14ac:dyDescent="0.45">
      <c r="A525" s="97" t="s">
        <v>959</v>
      </c>
      <c r="B525" s="97" t="s">
        <v>960</v>
      </c>
      <c r="C525" s="97" t="s">
        <v>0</v>
      </c>
      <c r="D525" s="128">
        <v>4789871.8600000003</v>
      </c>
      <c r="E525" s="128"/>
      <c r="F525" s="98">
        <v>739236.59</v>
      </c>
      <c r="G525" s="98"/>
      <c r="I525" t="str">
        <f>VLOOKUP(A525,bnc_Map!A:C,3,FALSE)</f>
        <v>[BnC-9S03] BnC Staff Salary</v>
      </c>
      <c r="J525" s="19">
        <v>5249550.8600000003</v>
      </c>
      <c r="K525" s="16"/>
      <c r="L525" s="20"/>
    </row>
    <row r="526" spans="1:12" x14ac:dyDescent="0.45">
      <c r="A526" s="97" t="s">
        <v>961</v>
      </c>
      <c r="B526" s="97" t="s">
        <v>962</v>
      </c>
      <c r="C526" s="97" t="s">
        <v>0</v>
      </c>
      <c r="D526" s="128">
        <v>1066</v>
      </c>
      <c r="E526" s="128"/>
      <c r="F526" s="98">
        <v>966</v>
      </c>
      <c r="G526" s="98"/>
      <c r="I526" t="str">
        <f>VLOOKUP(A526,bnc_Map!A:C,3,FALSE)</f>
        <v>[BnC-9S03] BnC Part Time Salary</v>
      </c>
      <c r="J526" s="19">
        <v>-458613</v>
      </c>
      <c r="K526" s="16"/>
      <c r="L526" s="20"/>
    </row>
    <row r="527" spans="1:12" x14ac:dyDescent="0.45">
      <c r="A527" s="97" t="s">
        <v>963</v>
      </c>
      <c r="B527" s="97" t="s">
        <v>964</v>
      </c>
      <c r="C527" s="97" t="s">
        <v>0</v>
      </c>
      <c r="D527" s="128">
        <v>27731.599999999999</v>
      </c>
      <c r="E527" s="128"/>
      <c r="F527" s="98">
        <v>15313.6</v>
      </c>
      <c r="G527" s="98"/>
      <c r="I527" t="str">
        <f>VLOOKUP(A527,bnc_Map!A:C,3,FALSE)</f>
        <v>[BnC-9S03] BnC Part Time Salary</v>
      </c>
      <c r="J527" s="19">
        <v>487410.6</v>
      </c>
      <c r="K527" s="16"/>
      <c r="L527" s="20"/>
    </row>
    <row r="528" spans="1:12" x14ac:dyDescent="0.45">
      <c r="A528" s="97" t="s">
        <v>965</v>
      </c>
      <c r="B528" s="97" t="s">
        <v>966</v>
      </c>
      <c r="C528" s="97" t="s">
        <v>0</v>
      </c>
      <c r="D528" s="128">
        <v>27125.65</v>
      </c>
      <c r="E528" s="128"/>
      <c r="F528" s="98">
        <v>8535.65</v>
      </c>
      <c r="G528" s="98"/>
      <c r="I528" t="str">
        <f>VLOOKUP(A528,bnc_Map!A:C,3,FALSE)</f>
        <v>[BnC-9S03] BnC Part Time Salary</v>
      </c>
      <c r="J528" s="19">
        <v>-432553.35</v>
      </c>
      <c r="K528" s="16"/>
      <c r="L528" s="20"/>
    </row>
    <row r="529" spans="1:12" x14ac:dyDescent="0.45">
      <c r="A529" s="97" t="s">
        <v>967</v>
      </c>
      <c r="B529" s="97" t="s">
        <v>968</v>
      </c>
      <c r="C529" s="97" t="s">
        <v>0</v>
      </c>
      <c r="D529" s="128">
        <v>11012.88</v>
      </c>
      <c r="E529" s="128"/>
      <c r="F529" s="98">
        <v>3606.63</v>
      </c>
      <c r="G529" s="98"/>
      <c r="I529" t="str">
        <f>VLOOKUP(A529,bnc_Map!A:C,3,FALSE)</f>
        <v>[BnC-9S03] BnC Part Time Salary</v>
      </c>
      <c r="J529" s="19">
        <v>470691.88</v>
      </c>
      <c r="K529" s="16"/>
      <c r="L529" s="20"/>
    </row>
    <row r="530" spans="1:12" x14ac:dyDescent="0.45">
      <c r="A530" s="97" t="s">
        <v>969</v>
      </c>
      <c r="B530" s="97" t="s">
        <v>970</v>
      </c>
      <c r="C530" s="97" t="s">
        <v>0</v>
      </c>
      <c r="D530" s="128">
        <v>40496.379999999997</v>
      </c>
      <c r="E530" s="128"/>
      <c r="F530" s="98">
        <v>14789.6</v>
      </c>
      <c r="G530" s="98"/>
      <c r="I530" t="str">
        <f>VLOOKUP(A530,bnc_Map!A:C,3,FALSE)</f>
        <v>[BnC-9S03] BnC Part Time Salary</v>
      </c>
      <c r="J530" s="19">
        <v>-419182.62</v>
      </c>
      <c r="K530" s="16"/>
      <c r="L530" s="20"/>
    </row>
    <row r="531" spans="1:12" x14ac:dyDescent="0.45">
      <c r="A531" s="97" t="s">
        <v>971</v>
      </c>
      <c r="B531" s="97" t="s">
        <v>972</v>
      </c>
      <c r="C531" s="97" t="s">
        <v>0</v>
      </c>
      <c r="D531" s="128">
        <v>14293.85</v>
      </c>
      <c r="E531" s="128"/>
      <c r="F531" s="98">
        <v>4697.8500000000004</v>
      </c>
      <c r="G531" s="98"/>
      <c r="I531" t="str">
        <f>VLOOKUP(A531,bnc_Map!A:C,3,FALSE)</f>
        <v>[BnC-9S03] BnC Part Time Salary</v>
      </c>
      <c r="J531" s="19">
        <v>473972.85</v>
      </c>
      <c r="K531" s="16"/>
      <c r="L531" s="20"/>
    </row>
    <row r="532" spans="1:12" x14ac:dyDescent="0.45">
      <c r="A532" s="97" t="s">
        <v>973</v>
      </c>
      <c r="B532" s="97" t="s">
        <v>974</v>
      </c>
      <c r="C532" s="97" t="s">
        <v>0</v>
      </c>
      <c r="D532" s="128">
        <v>17898.77</v>
      </c>
      <c r="E532" s="128"/>
      <c r="F532" s="98">
        <v>6280.52</v>
      </c>
      <c r="G532" s="98"/>
      <c r="I532" t="str">
        <f>VLOOKUP(A532,bnc_Map!A:C,3,FALSE)</f>
        <v>[BnC-9S03] BnC Part Time Salary</v>
      </c>
      <c r="J532" s="19">
        <v>-441780.23</v>
      </c>
      <c r="K532" s="16"/>
      <c r="L532" s="20"/>
    </row>
    <row r="533" spans="1:12" x14ac:dyDescent="0.45">
      <c r="A533" s="97" t="s">
        <v>975</v>
      </c>
      <c r="B533" s="97" t="s">
        <v>976</v>
      </c>
      <c r="C533" s="97" t="s">
        <v>0</v>
      </c>
      <c r="D533" s="128">
        <v>2704.58</v>
      </c>
      <c r="E533" s="128"/>
      <c r="F533" s="98"/>
      <c r="G533" s="98"/>
      <c r="I533" t="str">
        <f>VLOOKUP(A533,bnc_Map!A:C,3,FALSE)</f>
        <v>[BnC-9S03] BnC Part Time Salary</v>
      </c>
      <c r="J533" s="19">
        <v>462383.58</v>
      </c>
      <c r="K533" s="16"/>
      <c r="L533" s="20"/>
    </row>
    <row r="534" spans="1:12" x14ac:dyDescent="0.45">
      <c r="A534" s="97" t="s">
        <v>977</v>
      </c>
      <c r="B534" s="97" t="s">
        <v>978</v>
      </c>
      <c r="C534" s="97" t="s">
        <v>0</v>
      </c>
      <c r="D534" s="128">
        <v>19626.36</v>
      </c>
      <c r="E534" s="128"/>
      <c r="F534" s="98">
        <v>6777.86</v>
      </c>
      <c r="G534" s="98"/>
      <c r="I534" t="str">
        <f>VLOOKUP(A534,bnc_Map!A:C,3,FALSE)</f>
        <v>[BnC-9S03] BnC Part Time Salary</v>
      </c>
      <c r="J534" s="19">
        <v>-440052.64</v>
      </c>
      <c r="K534" s="16"/>
      <c r="L534" s="20"/>
    </row>
    <row r="535" spans="1:12" x14ac:dyDescent="0.45">
      <c r="A535" s="97" t="s">
        <v>979</v>
      </c>
      <c r="B535" s="97" t="s">
        <v>980</v>
      </c>
      <c r="C535" s="97" t="s">
        <v>0</v>
      </c>
      <c r="D535" s="128">
        <v>31685.68</v>
      </c>
      <c r="E535" s="128"/>
      <c r="F535" s="98">
        <v>13068.23</v>
      </c>
      <c r="G535" s="98"/>
      <c r="I535" t="str">
        <f>VLOOKUP(A535,bnc_Map!A:C,3,FALSE)</f>
        <v>[BnC-9S03] BnC Part Time Salary</v>
      </c>
      <c r="J535" s="19">
        <v>491364.68</v>
      </c>
      <c r="K535" s="16"/>
      <c r="L535" s="20"/>
    </row>
    <row r="536" spans="1:12" x14ac:dyDescent="0.45">
      <c r="A536" s="97" t="s">
        <v>981</v>
      </c>
      <c r="B536" s="97" t="s">
        <v>982</v>
      </c>
      <c r="C536" s="97" t="s">
        <v>0</v>
      </c>
      <c r="D536" s="128">
        <v>52294.77</v>
      </c>
      <c r="E536" s="128"/>
      <c r="F536" s="98">
        <v>17304.27</v>
      </c>
      <c r="G536" s="98"/>
      <c r="I536" t="str">
        <f>VLOOKUP(A536,bnc_Map!A:C,3,FALSE)</f>
        <v>[BnC-9S03] BnC Part Time Salary</v>
      </c>
      <c r="J536" s="19">
        <v>-407384.23</v>
      </c>
      <c r="K536" s="16"/>
      <c r="L536" s="20"/>
    </row>
    <row r="537" spans="1:12" x14ac:dyDescent="0.45">
      <c r="A537" s="97" t="s">
        <v>983</v>
      </c>
      <c r="B537" s="97" t="s">
        <v>984</v>
      </c>
      <c r="C537" s="97" t="s">
        <v>0</v>
      </c>
      <c r="D537" s="128">
        <v>23902.29</v>
      </c>
      <c r="E537" s="128"/>
      <c r="F537" s="98">
        <v>11888.54</v>
      </c>
      <c r="G537" s="98"/>
      <c r="I537" t="str">
        <f>VLOOKUP(A537,bnc_Map!A:C,3,FALSE)</f>
        <v>[BnC-9S03] BnC Part Time Salary</v>
      </c>
      <c r="J537" s="19">
        <v>483581.29</v>
      </c>
      <c r="K537" s="16"/>
      <c r="L537" s="20"/>
    </row>
    <row r="538" spans="1:12" x14ac:dyDescent="0.45">
      <c r="A538" s="97" t="s">
        <v>1648</v>
      </c>
      <c r="B538" s="97" t="s">
        <v>1649</v>
      </c>
      <c r="C538" s="97" t="s">
        <v>0</v>
      </c>
      <c r="D538" s="128">
        <v>5331.35</v>
      </c>
      <c r="E538" s="128"/>
      <c r="F538" s="98">
        <v>5331.35</v>
      </c>
      <c r="G538" s="98"/>
      <c r="I538" t="str">
        <f>VLOOKUP(A538,bnc_Map!A:C,3,FALSE)</f>
        <v>[BnC-9S03] BnC Part Time Salary</v>
      </c>
      <c r="J538" s="19">
        <v>-454347.65</v>
      </c>
      <c r="K538" s="16"/>
      <c r="L538" s="20"/>
    </row>
    <row r="539" spans="1:12" x14ac:dyDescent="0.45">
      <c r="A539" s="97" t="s">
        <v>985</v>
      </c>
      <c r="B539" s="97" t="s">
        <v>986</v>
      </c>
      <c r="C539" s="97" t="s">
        <v>0</v>
      </c>
      <c r="D539" s="128">
        <v>49611.79</v>
      </c>
      <c r="E539" s="128"/>
      <c r="F539" s="98">
        <v>17051.82</v>
      </c>
      <c r="G539" s="98"/>
      <c r="I539" t="str">
        <f>VLOOKUP(A539,bnc_Map!A:C,3,FALSE)</f>
        <v>[BnC-9S04] BnC Staff Welfare</v>
      </c>
      <c r="J539" s="19">
        <v>509290.79</v>
      </c>
      <c r="K539" s="16"/>
      <c r="L539" s="20"/>
    </row>
    <row r="540" spans="1:12" x14ac:dyDescent="0.45">
      <c r="A540" s="97" t="s">
        <v>987</v>
      </c>
      <c r="B540" s="97" t="s">
        <v>988</v>
      </c>
      <c r="C540" s="97" t="s">
        <v>0</v>
      </c>
      <c r="D540" s="128">
        <v>1860</v>
      </c>
      <c r="E540" s="128"/>
      <c r="F540" s="98">
        <v>542.5</v>
      </c>
      <c r="G540" s="98"/>
      <c r="I540" t="str">
        <f>VLOOKUP(A540,bnc_Map!A:C,3,FALSE)</f>
        <v>[BnC-9S06] BnC Secretarial Fee</v>
      </c>
      <c r="J540" s="19">
        <v>-457819</v>
      </c>
      <c r="K540" s="16"/>
      <c r="L540" s="20"/>
    </row>
    <row r="541" spans="1:12" x14ac:dyDescent="0.45">
      <c r="A541" s="97" t="s">
        <v>989</v>
      </c>
      <c r="B541" s="97" t="s">
        <v>990</v>
      </c>
      <c r="C541" s="97" t="s">
        <v>0</v>
      </c>
      <c r="D541" s="128">
        <v>36567.160000000003</v>
      </c>
      <c r="E541" s="128"/>
      <c r="F541" s="98">
        <v>4415.82</v>
      </c>
      <c r="G541" s="98"/>
      <c r="I541" t="str">
        <f>VLOOKUP(A541,bnc_Map!A:C,3,FALSE)</f>
        <v>[BnC-9S10] BnC Stationary</v>
      </c>
      <c r="J541" s="19">
        <v>496246.16000000003</v>
      </c>
      <c r="K541" s="16"/>
      <c r="L541" s="20"/>
    </row>
    <row r="542" spans="1:12" x14ac:dyDescent="0.45">
      <c r="A542" s="97" t="s">
        <v>991</v>
      </c>
      <c r="B542" s="97" t="s">
        <v>992</v>
      </c>
      <c r="C542" s="97" t="s">
        <v>0</v>
      </c>
      <c r="D542" s="128">
        <v>13180.18</v>
      </c>
      <c r="E542" s="128"/>
      <c r="F542" s="98">
        <v>1289.06</v>
      </c>
      <c r="G542" s="98"/>
      <c r="I542" t="str">
        <f>VLOOKUP(A542,bnc_Map!A:C,3,FALSE)</f>
        <v>[BnC-9S11] BnC Storage Charges</v>
      </c>
      <c r="J542" s="19">
        <v>-446498.82</v>
      </c>
      <c r="K542" s="16"/>
      <c r="L542" s="20"/>
    </row>
    <row r="543" spans="1:12" x14ac:dyDescent="0.45">
      <c r="A543" s="97" t="s">
        <v>993</v>
      </c>
      <c r="B543" s="97" t="s">
        <v>994</v>
      </c>
      <c r="C543" s="97" t="s">
        <v>0</v>
      </c>
      <c r="D543" s="128">
        <v>248.38</v>
      </c>
      <c r="E543" s="128"/>
      <c r="F543" s="98"/>
      <c r="G543" s="98"/>
      <c r="I543" t="str">
        <f>VLOOKUP(A543,bnc_Map!A:C,3,FALSE)</f>
        <v>[BnC-9S13] BnC Small Equipment</v>
      </c>
      <c r="J543" s="19">
        <v>459927.38</v>
      </c>
      <c r="K543" s="16"/>
      <c r="L543" s="20"/>
    </row>
    <row r="544" spans="1:12" x14ac:dyDescent="0.45">
      <c r="A544" s="97" t="s">
        <v>995</v>
      </c>
      <c r="B544" s="97" t="s">
        <v>996</v>
      </c>
      <c r="C544" s="97" t="s">
        <v>0</v>
      </c>
      <c r="D544" s="128">
        <v>19257.919999999998</v>
      </c>
      <c r="E544" s="128"/>
      <c r="F544" s="98">
        <v>5463.38</v>
      </c>
      <c r="G544" s="98"/>
      <c r="I544" t="str">
        <f>VLOOKUP(A544,bnc_Map!A:C,3,FALSE)</f>
        <v>[BnC-9S13] BnC Small Equipment</v>
      </c>
      <c r="J544" s="19">
        <v>-440421.08</v>
      </c>
      <c r="K544" s="16"/>
      <c r="L544" s="20"/>
    </row>
    <row r="545" spans="1:12" x14ac:dyDescent="0.45">
      <c r="A545" s="97" t="s">
        <v>997</v>
      </c>
      <c r="B545" s="97" t="s">
        <v>998</v>
      </c>
      <c r="C545" s="97" t="s">
        <v>0</v>
      </c>
      <c r="D545" s="128">
        <v>6918.3</v>
      </c>
      <c r="E545" s="128"/>
      <c r="F545" s="98">
        <v>1076.68</v>
      </c>
      <c r="G545" s="98"/>
      <c r="I545" t="str">
        <f>VLOOKUP(A545,bnc_Map!A:C,3,FALSE)</f>
        <v>[BnC-9S13] BnC Small Equipment</v>
      </c>
      <c r="J545" s="19">
        <v>466597.3</v>
      </c>
      <c r="K545" s="16"/>
      <c r="L545" s="20"/>
    </row>
    <row r="546" spans="1:12" x14ac:dyDescent="0.45">
      <c r="A546" s="97" t="s">
        <v>999</v>
      </c>
      <c r="B546" s="97" t="s">
        <v>1000</v>
      </c>
      <c r="C546" s="97" t="s">
        <v>0</v>
      </c>
      <c r="D546" s="128">
        <v>2147.42</v>
      </c>
      <c r="E546" s="128"/>
      <c r="F546" s="98">
        <v>24.78</v>
      </c>
      <c r="G546" s="98"/>
      <c r="I546" t="str">
        <f>VLOOKUP(A546,bnc_Map!A:C,3,FALSE)</f>
        <v>[BnC-9S13] BnC Small Equipment</v>
      </c>
      <c r="J546" s="19">
        <v>-457531.58</v>
      </c>
      <c r="K546" s="16"/>
      <c r="L546" s="20"/>
    </row>
    <row r="547" spans="1:12" x14ac:dyDescent="0.45">
      <c r="A547" s="99" t="s">
        <v>1001</v>
      </c>
      <c r="B547" s="95" t="s">
        <v>1002</v>
      </c>
      <c r="C547" s="95" t="s">
        <v>0</v>
      </c>
      <c r="D547" s="128">
        <v>164.09</v>
      </c>
      <c r="E547" s="128"/>
      <c r="F547" s="98">
        <v>13.49</v>
      </c>
      <c r="G547" s="98"/>
      <c r="I547" t="str">
        <f>VLOOKUP(A547,bnc_Map!A:C,3,FALSE)</f>
        <v>[BnC-9S13] BnC Small Equipment</v>
      </c>
      <c r="J547" s="19">
        <v>459843.09</v>
      </c>
      <c r="K547" s="16"/>
      <c r="L547" s="20"/>
    </row>
    <row r="548" spans="1:12" x14ac:dyDescent="0.45">
      <c r="A548" s="95" t="s">
        <v>1003</v>
      </c>
      <c r="B548" s="95" t="s">
        <v>1004</v>
      </c>
      <c r="C548" s="95" t="s">
        <v>0</v>
      </c>
      <c r="D548" s="129">
        <v>5631.48</v>
      </c>
      <c r="E548" s="129"/>
      <c r="F548" s="95"/>
      <c r="G548" s="95"/>
      <c r="I548" t="str">
        <f>VLOOKUP(A548,bnc_Map!A:C,3,FALSE)</f>
        <v>[BnC-9S13] BnC Small Equipment</v>
      </c>
      <c r="J548" s="19">
        <v>-454047.52</v>
      </c>
      <c r="K548" s="16"/>
      <c r="L548" s="20"/>
    </row>
    <row r="549" spans="1:12" x14ac:dyDescent="0.45">
      <c r="A549" s="95" t="s">
        <v>1005</v>
      </c>
      <c r="B549" s="95" t="s">
        <v>1006</v>
      </c>
      <c r="C549" s="95" t="s">
        <v>0</v>
      </c>
      <c r="D549" s="128">
        <v>2266.46</v>
      </c>
      <c r="E549" s="128"/>
      <c r="F549" s="98"/>
      <c r="G549" s="98"/>
      <c r="I549" t="str">
        <f>VLOOKUP(A549,bnc_Map!A:C,3,FALSE)</f>
        <v>[BnC-9S13] BnC Small Equipment</v>
      </c>
      <c r="J549" s="19">
        <v>461945.46</v>
      </c>
      <c r="K549" s="16"/>
      <c r="L549" s="20"/>
    </row>
    <row r="550" spans="1:12" x14ac:dyDescent="0.45">
      <c r="A550" s="95" t="s">
        <v>1007</v>
      </c>
      <c r="B550" s="95" t="s">
        <v>1008</v>
      </c>
      <c r="C550" s="95" t="s">
        <v>0</v>
      </c>
      <c r="D550" s="129">
        <v>5821.21</v>
      </c>
      <c r="E550" s="129"/>
      <c r="F550" s="95">
        <v>196.32</v>
      </c>
      <c r="G550" s="95"/>
      <c r="I550" t="str">
        <f>VLOOKUP(A550,bnc_Map!A:C,3,FALSE)</f>
        <v>[BnC-9S13] BnC Small Equipment</v>
      </c>
      <c r="J550" s="19">
        <v>-453857.79</v>
      </c>
      <c r="K550" s="16"/>
      <c r="L550" s="20"/>
    </row>
    <row r="551" spans="1:12" x14ac:dyDescent="0.45">
      <c r="A551" s="95" t="s">
        <v>1009</v>
      </c>
      <c r="B551" s="95" t="s">
        <v>1010</v>
      </c>
      <c r="C551" s="95" t="s">
        <v>0</v>
      </c>
      <c r="D551" s="129">
        <v>2761.97</v>
      </c>
      <c r="E551" s="130"/>
      <c r="F551" s="95">
        <v>72.489999999999995</v>
      </c>
      <c r="G551" s="100"/>
      <c r="I551" t="str">
        <f>VLOOKUP(A551,bnc_Map!A:C,3,FALSE)</f>
        <v>[BnC-9S13] BnC Small Equipment</v>
      </c>
      <c r="J551" s="19">
        <v>462440.97</v>
      </c>
      <c r="K551" s="16"/>
      <c r="L551" s="20"/>
    </row>
    <row r="552" spans="1:12" x14ac:dyDescent="0.45">
      <c r="A552" s="95" t="s">
        <v>1011</v>
      </c>
      <c r="B552" s="95" t="s">
        <v>1012</v>
      </c>
      <c r="C552" s="95" t="s">
        <v>0</v>
      </c>
      <c r="D552" s="129">
        <v>1395.02</v>
      </c>
      <c r="E552" s="129"/>
      <c r="F552" s="95">
        <v>6</v>
      </c>
      <c r="G552" s="95"/>
      <c r="I552" t="str">
        <f>VLOOKUP(A552,bnc_Map!A:C,3,FALSE)</f>
        <v>[BnC-9S13] BnC Small Equipment</v>
      </c>
      <c r="J552" s="19">
        <v>-458283.98</v>
      </c>
      <c r="K552" s="16"/>
      <c r="L552" s="20"/>
    </row>
    <row r="553" spans="1:12" x14ac:dyDescent="0.45">
      <c r="A553" s="95" t="s">
        <v>1013</v>
      </c>
      <c r="B553" s="95" t="s">
        <v>1014</v>
      </c>
      <c r="C553" s="95" t="s">
        <v>0</v>
      </c>
      <c r="D553" s="129">
        <v>1876.31</v>
      </c>
      <c r="E553" s="129"/>
      <c r="F553" s="95">
        <v>558.42999999999995</v>
      </c>
      <c r="G553" s="95"/>
      <c r="I553" t="str">
        <f>VLOOKUP(A553,bnc_Map!A:C,3,FALSE)</f>
        <v>[BnC-9S13] BnC Small Equipment</v>
      </c>
      <c r="J553" s="19">
        <v>461555.31</v>
      </c>
      <c r="K553" s="16"/>
      <c r="L553" s="20"/>
    </row>
    <row r="554" spans="1:12" x14ac:dyDescent="0.45">
      <c r="A554" s="95" t="s">
        <v>1015</v>
      </c>
      <c r="B554" s="95" t="s">
        <v>1016</v>
      </c>
      <c r="C554" s="95" t="s">
        <v>0</v>
      </c>
      <c r="D554" s="129">
        <v>2833.05</v>
      </c>
      <c r="E554" s="129"/>
      <c r="F554" s="95">
        <v>173.75</v>
      </c>
      <c r="G554" s="95"/>
      <c r="I554" t="str">
        <f>VLOOKUP(A554,bnc_Map!A:C,3,FALSE)</f>
        <v>[BnC-9S13] BnC Small Equipment</v>
      </c>
      <c r="J554" s="19">
        <v>-456845.95</v>
      </c>
      <c r="K554" s="16"/>
      <c r="L554" s="20"/>
    </row>
    <row r="555" spans="1:12" x14ac:dyDescent="0.45">
      <c r="A555" s="95" t="s">
        <v>1017</v>
      </c>
      <c r="B555" s="95" t="s">
        <v>1018</v>
      </c>
      <c r="C555" s="95" t="s">
        <v>0</v>
      </c>
      <c r="D555" s="129">
        <v>11590.28</v>
      </c>
      <c r="E555" s="129"/>
      <c r="F555" s="95">
        <v>1373.8</v>
      </c>
      <c r="G555" s="95"/>
      <c r="I555" t="str">
        <f>VLOOKUP(A555,bnc_Map!A:C,3,FALSE)</f>
        <v>[BnC-9S13] BnC Small Equipment</v>
      </c>
      <c r="J555" s="19">
        <v>471269.28</v>
      </c>
      <c r="K555" s="16"/>
      <c r="L555" s="20"/>
    </row>
    <row r="556" spans="1:12" x14ac:dyDescent="0.45">
      <c r="A556" s="95" t="s">
        <v>1019</v>
      </c>
      <c r="B556" s="95" t="s">
        <v>1020</v>
      </c>
      <c r="C556" s="95" t="s">
        <v>0</v>
      </c>
      <c r="D556" s="129">
        <v>2444.2199999999998</v>
      </c>
      <c r="E556" s="129"/>
      <c r="F556" s="95">
        <v>20.6</v>
      </c>
      <c r="G556" s="95"/>
      <c r="I556" t="str">
        <f>VLOOKUP(A556,bnc_Map!A:C,3,FALSE)</f>
        <v>[BnC-9S13] BnC Small Equipment</v>
      </c>
      <c r="J556" s="19">
        <v>-457234.78</v>
      </c>
      <c r="K556" s="16"/>
      <c r="L556" s="20"/>
    </row>
    <row r="557" spans="1:12" x14ac:dyDescent="0.45">
      <c r="A557" s="95" t="s">
        <v>1021</v>
      </c>
      <c r="B557" s="95" t="s">
        <v>1022</v>
      </c>
      <c r="C557" s="95" t="s">
        <v>0</v>
      </c>
      <c r="D557" s="129">
        <v>7722.95</v>
      </c>
      <c r="E557" s="129"/>
      <c r="F557" s="95">
        <v>1294.8</v>
      </c>
      <c r="G557" s="95"/>
      <c r="I557" t="str">
        <f>VLOOKUP(A557,bnc_Map!A:C,3,FALSE)</f>
        <v>[BnC-9S13] BnC Small Equipment</v>
      </c>
      <c r="J557" s="19">
        <v>467401.95</v>
      </c>
      <c r="K557" s="16"/>
      <c r="L557" s="20"/>
    </row>
    <row r="558" spans="1:12" x14ac:dyDescent="0.45">
      <c r="A558" s="95" t="s">
        <v>1023</v>
      </c>
      <c r="B558" s="95" t="s">
        <v>1024</v>
      </c>
      <c r="C558" s="95" t="s">
        <v>0</v>
      </c>
      <c r="D558" s="129">
        <v>732.12</v>
      </c>
      <c r="E558" s="129"/>
      <c r="F558" s="95"/>
      <c r="G558" s="95"/>
      <c r="I558" t="str">
        <f>VLOOKUP(A558,bnc_Map!A:C,3,FALSE)</f>
        <v>[BnC-9T01] BnC Transportation</v>
      </c>
      <c r="J558" s="19">
        <v>-458946.88</v>
      </c>
      <c r="K558" s="16"/>
      <c r="L558" s="20"/>
    </row>
    <row r="559" spans="1:12" x14ac:dyDescent="0.45">
      <c r="A559" s="95" t="s">
        <v>1025</v>
      </c>
      <c r="B559" s="95" t="s">
        <v>1026</v>
      </c>
      <c r="C559" s="95" t="s">
        <v>0</v>
      </c>
      <c r="D559" s="129">
        <v>12577.87</v>
      </c>
      <c r="E559" s="129"/>
      <c r="F559" s="95">
        <v>1283.8</v>
      </c>
      <c r="G559" s="95"/>
      <c r="I559" t="str">
        <f>VLOOKUP(A559,bnc_Map!A:C,3,FALSE)</f>
        <v>[BnC-9T01] BnC Transportation</v>
      </c>
      <c r="J559" s="19">
        <v>472256.87</v>
      </c>
      <c r="K559" s="16"/>
      <c r="L559" s="20"/>
    </row>
    <row r="560" spans="1:12" x14ac:dyDescent="0.45">
      <c r="A560" s="95" t="s">
        <v>1027</v>
      </c>
      <c r="B560" s="95" t="s">
        <v>1028</v>
      </c>
      <c r="C560" s="95" t="s">
        <v>0</v>
      </c>
      <c r="D560" s="129">
        <v>8019</v>
      </c>
      <c r="E560" s="129"/>
      <c r="F560" s="95">
        <v>714.7</v>
      </c>
      <c r="G560" s="95"/>
      <c r="I560" t="str">
        <f>VLOOKUP(A560,bnc_Map!A:C,3,FALSE)</f>
        <v>[BnC-9T01] BnC Transportation</v>
      </c>
      <c r="J560" s="19">
        <v>-451660</v>
      </c>
      <c r="K560" s="16"/>
      <c r="L560" s="20"/>
    </row>
    <row r="561" spans="1:12" x14ac:dyDescent="0.45">
      <c r="A561" s="95" t="s">
        <v>1650</v>
      </c>
      <c r="B561" s="95" t="s">
        <v>1651</v>
      </c>
      <c r="C561" s="95" t="s">
        <v>0</v>
      </c>
      <c r="D561" s="129">
        <v>23.6</v>
      </c>
      <c r="E561" s="129"/>
      <c r="F561" s="95">
        <v>23.6</v>
      </c>
      <c r="G561" s="95"/>
      <c r="I561" t="str">
        <f>VLOOKUP(A561,bnc_Map!A:C,3,FALSE)</f>
        <v>[BnC-9T01] BnC Transportation</v>
      </c>
      <c r="J561" s="19">
        <v>459702.6</v>
      </c>
      <c r="K561" s="16"/>
      <c r="L561" s="20"/>
    </row>
    <row r="562" spans="1:12" x14ac:dyDescent="0.45">
      <c r="A562" s="95" t="s">
        <v>1029</v>
      </c>
      <c r="B562" s="95" t="s">
        <v>1030</v>
      </c>
      <c r="C562" s="95" t="s">
        <v>0</v>
      </c>
      <c r="D562" s="129">
        <v>3999.79</v>
      </c>
      <c r="E562" s="129"/>
      <c r="F562" s="95">
        <v>610.97</v>
      </c>
      <c r="G562" s="95"/>
      <c r="I562" t="str">
        <f>VLOOKUP(A562,bnc_Map!A:C,3,FALSE)</f>
        <v>[BnC-9T01] BnC Transportation</v>
      </c>
      <c r="J562" s="19">
        <v>-455679.21</v>
      </c>
      <c r="K562" s="16"/>
      <c r="L562" s="20"/>
    </row>
    <row r="563" spans="1:12" x14ac:dyDescent="0.45">
      <c r="A563" s="95" t="s">
        <v>1031</v>
      </c>
      <c r="B563" s="95" t="s">
        <v>1032</v>
      </c>
      <c r="C563" s="95" t="s">
        <v>0</v>
      </c>
      <c r="D563" s="129">
        <v>228.65</v>
      </c>
      <c r="E563" s="129"/>
      <c r="F563" s="95"/>
      <c r="G563" s="95"/>
      <c r="I563" t="str">
        <f>VLOOKUP(A563,bnc_Map!A:C,3,FALSE)</f>
        <v>[BnC-9T01] BnC Transportation</v>
      </c>
      <c r="J563" s="19">
        <v>459907.65</v>
      </c>
      <c r="K563" s="16"/>
      <c r="L563" s="20"/>
    </row>
    <row r="564" spans="1:12" x14ac:dyDescent="0.45">
      <c r="A564" s="95" t="s">
        <v>1033</v>
      </c>
      <c r="B564" s="95" t="s">
        <v>1034</v>
      </c>
      <c r="C564" s="95" t="s">
        <v>0</v>
      </c>
      <c r="D564" s="129">
        <v>2360.9499999999998</v>
      </c>
      <c r="E564" s="129"/>
      <c r="F564" s="95">
        <v>177.4</v>
      </c>
      <c r="G564" s="95"/>
      <c r="I564" t="str">
        <f>VLOOKUP(A564,bnc_Map!A:C,3,FALSE)</f>
        <v>[BnC-9T01] BnC Transportation</v>
      </c>
      <c r="J564" s="19">
        <v>-457318.05</v>
      </c>
      <c r="K564" s="16"/>
      <c r="L564" s="20"/>
    </row>
    <row r="565" spans="1:12" x14ac:dyDescent="0.45">
      <c r="A565" s="95" t="s">
        <v>1035</v>
      </c>
      <c r="B565" s="95" t="s">
        <v>1036</v>
      </c>
      <c r="C565" s="95" t="s">
        <v>0</v>
      </c>
      <c r="D565" s="129">
        <v>352.95</v>
      </c>
      <c r="E565" s="129"/>
      <c r="F565" s="95"/>
      <c r="G565" s="95"/>
      <c r="I565" t="str">
        <f>VLOOKUP(A565,bnc_Map!A:C,3,FALSE)</f>
        <v>[BnC-9T01] BnC Transportation</v>
      </c>
      <c r="J565" s="19">
        <v>460031.95</v>
      </c>
      <c r="K565" s="16"/>
      <c r="L565" s="20"/>
    </row>
    <row r="566" spans="1:12" x14ac:dyDescent="0.45">
      <c r="A566" s="95" t="s">
        <v>1037</v>
      </c>
      <c r="B566" s="95" t="s">
        <v>1038</v>
      </c>
      <c r="C566" s="95" t="s">
        <v>0</v>
      </c>
      <c r="D566" s="129">
        <v>3139.9</v>
      </c>
      <c r="E566" s="129"/>
      <c r="F566" s="95">
        <v>337</v>
      </c>
      <c r="G566" s="95"/>
      <c r="I566" t="str">
        <f>VLOOKUP(A566,bnc_Map!A:C,3,FALSE)</f>
        <v>[BnC-9T01] BnC Transportation</v>
      </c>
      <c r="J566" s="19">
        <v>-456539.1</v>
      </c>
      <c r="K566" s="16"/>
      <c r="L566" s="20"/>
    </row>
    <row r="567" spans="1:12" x14ac:dyDescent="0.45">
      <c r="A567" s="95" t="s">
        <v>1039</v>
      </c>
      <c r="B567" s="95" t="s">
        <v>1040</v>
      </c>
      <c r="C567" s="95" t="s">
        <v>0</v>
      </c>
      <c r="D567" s="129">
        <v>2062.81</v>
      </c>
      <c r="E567" s="129"/>
      <c r="F567" s="95">
        <v>92.8</v>
      </c>
      <c r="G567" s="95"/>
      <c r="I567" t="str">
        <f>VLOOKUP(A567,bnc_Map!A:C,3,FALSE)</f>
        <v>[BnC-9T01] BnC Transportation</v>
      </c>
      <c r="J567" s="19">
        <v>461741.81</v>
      </c>
      <c r="K567" s="16"/>
      <c r="L567" s="20"/>
    </row>
    <row r="568" spans="1:12" x14ac:dyDescent="0.45">
      <c r="A568" s="95" t="s">
        <v>1041</v>
      </c>
      <c r="B568" s="95" t="s">
        <v>1042</v>
      </c>
      <c r="C568" s="95" t="s">
        <v>0</v>
      </c>
      <c r="D568" s="129">
        <v>11221.18</v>
      </c>
      <c r="E568" s="129"/>
      <c r="F568" s="95">
        <v>3013.32</v>
      </c>
      <c r="G568" s="95"/>
      <c r="I568" t="str">
        <f>VLOOKUP(A568,bnc_Map!A:C,3,FALSE)</f>
        <v>[BnC-9T01] BnC Transportation</v>
      </c>
      <c r="J568" s="19">
        <v>-448457.82</v>
      </c>
      <c r="K568" s="16"/>
      <c r="L568" s="20"/>
    </row>
    <row r="569" spans="1:12" x14ac:dyDescent="0.45">
      <c r="A569" s="95" t="s">
        <v>1043</v>
      </c>
      <c r="B569" s="95" t="s">
        <v>1044</v>
      </c>
      <c r="C569" s="95" t="s">
        <v>0</v>
      </c>
      <c r="D569" s="129">
        <v>2039.18</v>
      </c>
      <c r="E569" s="129"/>
      <c r="F569" s="95"/>
      <c r="G569" s="95"/>
      <c r="I569" t="str">
        <f>VLOOKUP(A569,bnc_Map!A:C,3,FALSE)</f>
        <v>[BnC-9T01] BnC Transportation</v>
      </c>
      <c r="J569" s="19">
        <v>461718.18</v>
      </c>
      <c r="K569" s="16"/>
      <c r="L569" s="20"/>
    </row>
    <row r="570" spans="1:12" x14ac:dyDescent="0.45">
      <c r="A570" s="95" t="s">
        <v>1045</v>
      </c>
      <c r="B570" s="95" t="s">
        <v>1046</v>
      </c>
      <c r="C570" s="95" t="s">
        <v>0</v>
      </c>
      <c r="D570" s="129">
        <v>2166.65</v>
      </c>
      <c r="E570" s="129"/>
      <c r="F570" s="95">
        <v>289.5</v>
      </c>
      <c r="G570" s="95"/>
      <c r="I570" t="str">
        <f>VLOOKUP(A570,bnc_Map!A:C,3,FALSE)</f>
        <v>[BnC-9T01] BnC Transportation</v>
      </c>
      <c r="J570" s="19">
        <v>-457512.35</v>
      </c>
      <c r="K570" s="16"/>
      <c r="L570" s="20"/>
    </row>
    <row r="571" spans="1:12" x14ac:dyDescent="0.45">
      <c r="A571" s="95" t="s">
        <v>1047</v>
      </c>
      <c r="B571" s="95" t="s">
        <v>1048</v>
      </c>
      <c r="C571" s="95" t="s">
        <v>0</v>
      </c>
      <c r="D571" s="129">
        <v>5659.42</v>
      </c>
      <c r="E571" s="129"/>
      <c r="F571" s="95">
        <v>628.62</v>
      </c>
      <c r="G571" s="95"/>
      <c r="I571" t="str">
        <f>VLOOKUP(A571,bnc_Map!A:C,3,FALSE)</f>
        <v>[BnC-9T01] BnC Transportation</v>
      </c>
      <c r="J571" s="19">
        <v>465338.42</v>
      </c>
      <c r="K571" s="16"/>
      <c r="L571" s="20"/>
    </row>
    <row r="572" spans="1:12" x14ac:dyDescent="0.45">
      <c r="A572" s="95" t="s">
        <v>1049</v>
      </c>
      <c r="B572" s="95" t="s">
        <v>1050</v>
      </c>
      <c r="C572" s="95" t="s">
        <v>0</v>
      </c>
      <c r="D572" s="129">
        <v>1014.7</v>
      </c>
      <c r="E572" s="129"/>
      <c r="F572" s="95">
        <v>225</v>
      </c>
      <c r="G572" s="95"/>
      <c r="I572" t="str">
        <f>VLOOKUP(A572,bnc_Map!A:C,3,FALSE)</f>
        <v>[BnC-9T01] BnC Transportation</v>
      </c>
      <c r="J572" s="19">
        <v>-458664.3</v>
      </c>
      <c r="K572" s="16"/>
      <c r="L572" s="20"/>
    </row>
    <row r="573" spans="1:12" x14ac:dyDescent="0.45">
      <c r="A573" s="95" t="s">
        <v>1051</v>
      </c>
      <c r="B573" s="95" t="s">
        <v>1052</v>
      </c>
      <c r="C573" s="95" t="s">
        <v>0</v>
      </c>
      <c r="D573" s="129">
        <v>9471.5</v>
      </c>
      <c r="E573" s="129"/>
      <c r="F573" s="95">
        <v>1591.4</v>
      </c>
      <c r="G573" s="95"/>
      <c r="I573" t="str">
        <f>VLOOKUP(A573,bnc_Map!A:C,3,FALSE)</f>
        <v>[BnC-9T01] BnC Taxi Fare</v>
      </c>
      <c r="J573" s="19">
        <v>469150.5</v>
      </c>
      <c r="K573" s="16"/>
      <c r="L573" s="20"/>
    </row>
    <row r="574" spans="1:12" x14ac:dyDescent="0.45">
      <c r="A574" s="95" t="s">
        <v>1053</v>
      </c>
      <c r="B574" s="95" t="s">
        <v>1054</v>
      </c>
      <c r="C574" s="95" t="s">
        <v>0</v>
      </c>
      <c r="D574" s="129">
        <v>44426.720000000001</v>
      </c>
      <c r="E574" s="129"/>
      <c r="F574" s="95">
        <v>5019.04</v>
      </c>
      <c r="G574" s="95"/>
      <c r="I574" t="str">
        <f>VLOOKUP(A574,bnc_Map!A:C,3,FALSE)</f>
        <v>[BnC-9T02] BnC Telephone and Internet</v>
      </c>
      <c r="J574" s="19">
        <v>-415252.28</v>
      </c>
      <c r="K574" s="16"/>
      <c r="L574" s="20"/>
    </row>
    <row r="575" spans="1:12" x14ac:dyDescent="0.45">
      <c r="A575" s="95" t="s">
        <v>1055</v>
      </c>
      <c r="B575" s="95" t="s">
        <v>1056</v>
      </c>
      <c r="C575" s="95" t="s">
        <v>0</v>
      </c>
      <c r="D575" s="129">
        <v>3772.86</v>
      </c>
      <c r="E575" s="129"/>
      <c r="F575" s="95">
        <v>253.5</v>
      </c>
      <c r="G575" s="95"/>
      <c r="I575" t="str">
        <f>VLOOKUP(A575,bnc_Map!A:C,3,FALSE)</f>
        <v>[BnC-9T03] BnC Training</v>
      </c>
      <c r="J575" s="19">
        <v>463451.86</v>
      </c>
      <c r="K575" s="16"/>
      <c r="L575" s="20"/>
    </row>
    <row r="576" spans="1:12" x14ac:dyDescent="0.45">
      <c r="A576" s="95" t="s">
        <v>1057</v>
      </c>
      <c r="B576" s="95" t="s">
        <v>1058</v>
      </c>
      <c r="C576" s="95" t="s">
        <v>0</v>
      </c>
      <c r="D576" s="129">
        <v>7039.56</v>
      </c>
      <c r="E576" s="129"/>
      <c r="F576" s="95"/>
      <c r="G576" s="95"/>
      <c r="I576" t="str">
        <f>VLOOKUP(A576,bnc_Map!A:C,3,FALSE)</f>
        <v>[BnC-9T04] BnC Travelling</v>
      </c>
      <c r="J576" s="19">
        <v>-452639.44</v>
      </c>
      <c r="K576" s="16"/>
      <c r="L576" s="20"/>
    </row>
    <row r="577" spans="1:12" x14ac:dyDescent="0.45">
      <c r="A577" s="95" t="s">
        <v>1652</v>
      </c>
      <c r="B577" s="95" t="s">
        <v>1653</v>
      </c>
      <c r="C577" s="95" t="s">
        <v>0</v>
      </c>
      <c r="D577" s="129">
        <v>2793.72</v>
      </c>
      <c r="E577" s="129"/>
      <c r="F577" s="95">
        <v>2793.72</v>
      </c>
      <c r="G577" s="95"/>
      <c r="I577" t="str">
        <f>VLOOKUP(A577,bnc_Map!A:C,3,FALSE)</f>
        <v>[BnC-9T06] BnC Take Over</v>
      </c>
      <c r="J577" s="19">
        <v>462472.72</v>
      </c>
      <c r="K577" s="16"/>
      <c r="L577" s="20"/>
    </row>
    <row r="578" spans="1:12" x14ac:dyDescent="0.45">
      <c r="A578" s="95" t="s">
        <v>1059</v>
      </c>
      <c r="B578" s="95" t="s">
        <v>1060</v>
      </c>
      <c r="C578" s="95" t="s">
        <v>0</v>
      </c>
      <c r="D578" s="129"/>
      <c r="E578" s="129"/>
      <c r="F578" s="95">
        <v>72.06</v>
      </c>
      <c r="G578" s="95"/>
      <c r="I578" t="str">
        <f>VLOOKUP(A578,bnc_Map!A:C,3,FALSE)</f>
        <v>[BnC-9T07] BnC Witholding Tax</v>
      </c>
      <c r="J578" s="19">
        <v>-459679</v>
      </c>
      <c r="K578" s="16"/>
      <c r="L578" s="20"/>
    </row>
    <row r="579" spans="1:12" x14ac:dyDescent="0.45">
      <c r="A579" s="95" t="s">
        <v>1061</v>
      </c>
      <c r="B579" s="95" t="s">
        <v>1062</v>
      </c>
      <c r="C579" s="95" t="s">
        <v>0</v>
      </c>
      <c r="D579" s="129">
        <v>9034.27</v>
      </c>
      <c r="E579" s="129"/>
      <c r="F579" s="95">
        <v>3120.56</v>
      </c>
      <c r="G579" s="95"/>
      <c r="I579" t="str">
        <f>VLOOKUP(A579,bnc_Map!A:C,3,FALSE)</f>
        <v>[BnC-9T07] BnC Witholding Tax</v>
      </c>
      <c r="J579" s="19">
        <v>468713.27</v>
      </c>
      <c r="K579" s="16"/>
      <c r="L579" s="20"/>
    </row>
    <row r="580" spans="1:12" x14ac:dyDescent="0.45">
      <c r="A580" s="95" t="s">
        <v>1063</v>
      </c>
      <c r="B580" s="95" t="s">
        <v>1064</v>
      </c>
      <c r="C580" s="95" t="s">
        <v>0</v>
      </c>
      <c r="D580" s="129">
        <v>25794.22</v>
      </c>
      <c r="E580" s="129"/>
      <c r="F580" s="95">
        <v>380.33</v>
      </c>
      <c r="G580" s="95"/>
      <c r="I580" t="str">
        <f>VLOOKUP(A580,bnc_Map!A:C,3,FALSE)</f>
        <v>[BnC-9U01] BnC Uniform</v>
      </c>
      <c r="J580" s="19">
        <v>-433884.78</v>
      </c>
      <c r="K580" s="16"/>
      <c r="L580" s="20"/>
    </row>
    <row r="581" spans="1:12" x14ac:dyDescent="0.45">
      <c r="A581" s="95" t="s">
        <v>1065</v>
      </c>
      <c r="B581" s="95" t="s">
        <v>1066</v>
      </c>
      <c r="C581" s="95" t="s">
        <v>0</v>
      </c>
      <c r="D581" s="129">
        <v>2787.79</v>
      </c>
      <c r="E581" s="129"/>
      <c r="F581" s="95">
        <v>168.48</v>
      </c>
      <c r="G581" s="95"/>
      <c r="I581" t="str">
        <f>VLOOKUP(A581,bnc_Map!A:C,3,FALSE)</f>
        <v>[BnC-9W01] BnC Water</v>
      </c>
      <c r="J581" s="19">
        <v>462466.79</v>
      </c>
      <c r="K581" s="16"/>
      <c r="L581" s="20"/>
    </row>
    <row r="582" spans="1:12" x14ac:dyDescent="0.45">
      <c r="A582" s="95" t="s">
        <v>1067</v>
      </c>
      <c r="B582" s="95" t="s">
        <v>1068</v>
      </c>
      <c r="C582" s="95" t="s">
        <v>0</v>
      </c>
      <c r="D582" s="129">
        <v>2867.36</v>
      </c>
      <c r="E582" s="129"/>
      <c r="F582" s="95">
        <v>319.72000000000003</v>
      </c>
      <c r="G582" s="95"/>
      <c r="I582" t="str">
        <f>VLOOKUP(A582,bnc_Map!A:C,3,FALSE)</f>
        <v>[BnC-9W01] BnC Water</v>
      </c>
      <c r="J582" s="19">
        <v>-456811.64</v>
      </c>
      <c r="K582" s="16"/>
      <c r="L582" s="20"/>
    </row>
    <row r="583" spans="1:12" x14ac:dyDescent="0.45">
      <c r="A583" s="95" t="s">
        <v>1069</v>
      </c>
      <c r="B583" s="95" t="s">
        <v>1070</v>
      </c>
      <c r="C583" s="95" t="s">
        <v>0</v>
      </c>
      <c r="D583" s="129">
        <v>2190.7399999999998</v>
      </c>
      <c r="E583" s="129"/>
      <c r="F583" s="95">
        <v>177.5</v>
      </c>
      <c r="G583" s="95"/>
      <c r="I583" t="str">
        <f>VLOOKUP(A583,bnc_Map!A:C,3,FALSE)</f>
        <v>[BnC-9W01] BnC Water</v>
      </c>
      <c r="J583" s="19">
        <v>461869.74</v>
      </c>
      <c r="K583" s="16"/>
      <c r="L583" s="20"/>
    </row>
    <row r="584" spans="1:12" x14ac:dyDescent="0.45">
      <c r="A584" s="95" t="s">
        <v>1071</v>
      </c>
      <c r="B584" s="95" t="s">
        <v>1072</v>
      </c>
      <c r="C584" s="95" t="s">
        <v>0</v>
      </c>
      <c r="D584" s="129">
        <v>675.26</v>
      </c>
      <c r="E584" s="129"/>
      <c r="F584" s="95">
        <v>56.61</v>
      </c>
      <c r="G584" s="95"/>
      <c r="I584" t="str">
        <f>VLOOKUP(A584,bnc_Map!A:C,3,FALSE)</f>
        <v>[BnC-9W01] BnC Water</v>
      </c>
      <c r="J584" s="19">
        <v>-459003.74</v>
      </c>
      <c r="K584" s="16"/>
      <c r="L584" s="20"/>
    </row>
    <row r="585" spans="1:12" x14ac:dyDescent="0.45">
      <c r="A585" s="95" t="s">
        <v>1073</v>
      </c>
      <c r="B585" s="95" t="s">
        <v>1074</v>
      </c>
      <c r="C585" s="95" t="s">
        <v>0</v>
      </c>
      <c r="D585" s="129">
        <v>3961.7</v>
      </c>
      <c r="E585" s="129"/>
      <c r="F585" s="95">
        <v>264.75</v>
      </c>
      <c r="G585" s="95"/>
      <c r="I585" t="str">
        <f>VLOOKUP(A585,bnc_Map!A:C,3,FALSE)</f>
        <v>[BnC-9W01] BnC Water</v>
      </c>
      <c r="J585" s="19">
        <v>463640.7</v>
      </c>
      <c r="K585" s="16"/>
      <c r="L585" s="20"/>
    </row>
    <row r="586" spans="1:12" x14ac:dyDescent="0.45">
      <c r="A586" s="95" t="s">
        <v>1075</v>
      </c>
      <c r="B586" s="95" t="s">
        <v>1076</v>
      </c>
      <c r="C586" s="95" t="s">
        <v>0</v>
      </c>
      <c r="D586" s="129">
        <v>1473.49</v>
      </c>
      <c r="E586" s="129"/>
      <c r="F586" s="95">
        <v>115.96</v>
      </c>
      <c r="G586" s="95"/>
      <c r="I586" t="str">
        <f>VLOOKUP(A586,bnc_Map!A:C,3,FALSE)</f>
        <v>[BnC-9W01] BnC Water</v>
      </c>
      <c r="J586" s="19">
        <v>-458205.51</v>
      </c>
      <c r="K586" s="16"/>
      <c r="L586" s="20"/>
    </row>
    <row r="587" spans="1:12" x14ac:dyDescent="0.45">
      <c r="A587" s="95" t="s">
        <v>1077</v>
      </c>
      <c r="B587" s="95" t="s">
        <v>1078</v>
      </c>
      <c r="C587" s="95" t="s">
        <v>0</v>
      </c>
      <c r="D587" s="129">
        <v>1997.1</v>
      </c>
      <c r="E587" s="129"/>
      <c r="F587" s="95">
        <v>175.31</v>
      </c>
      <c r="G587" s="95"/>
      <c r="I587" t="str">
        <f>VLOOKUP(A587,bnc_Map!A:C,3,FALSE)</f>
        <v>[BnC-9W01] BnC Water</v>
      </c>
      <c r="J587" s="19">
        <v>461676.1</v>
      </c>
      <c r="K587" s="16"/>
      <c r="L587" s="20"/>
    </row>
    <row r="588" spans="1:12" x14ac:dyDescent="0.45">
      <c r="A588" s="95" t="s">
        <v>1079</v>
      </c>
      <c r="B588" s="95" t="s">
        <v>1080</v>
      </c>
      <c r="C588" s="95" t="s">
        <v>0</v>
      </c>
      <c r="D588" s="129">
        <v>2374.79</v>
      </c>
      <c r="E588" s="129"/>
      <c r="F588" s="95">
        <v>179.69</v>
      </c>
      <c r="G588" s="95"/>
      <c r="I588" t="str">
        <f>VLOOKUP(A588,bnc_Map!A:C,3,FALSE)</f>
        <v>[BnC-9W01] BnC Water</v>
      </c>
      <c r="J588" s="19">
        <v>-457304.21</v>
      </c>
      <c r="K588" s="16"/>
      <c r="L588" s="20"/>
    </row>
    <row r="589" spans="1:12" x14ac:dyDescent="0.45">
      <c r="A589" s="95" t="s">
        <v>1081</v>
      </c>
      <c r="B589" s="95" t="s">
        <v>1082</v>
      </c>
      <c r="C589" s="95" t="s">
        <v>0</v>
      </c>
      <c r="D589" s="129">
        <v>2869.02</v>
      </c>
      <c r="E589" s="129"/>
      <c r="F589" s="95">
        <v>277.33</v>
      </c>
      <c r="G589" s="95"/>
      <c r="I589" t="str">
        <f>VLOOKUP(A589,bnc_Map!A:C,3,FALSE)</f>
        <v>[BnC-9W01] BnC Water</v>
      </c>
      <c r="J589" s="19">
        <v>462548.02</v>
      </c>
      <c r="K589" s="16"/>
      <c r="L589" s="20"/>
    </row>
    <row r="590" spans="1:12" x14ac:dyDescent="0.45">
      <c r="A590" s="95" t="s">
        <v>1083</v>
      </c>
      <c r="B590" s="95" t="s">
        <v>1084</v>
      </c>
      <c r="C590" s="95" t="s">
        <v>0</v>
      </c>
      <c r="D590" s="129">
        <v>4933.9399999999996</v>
      </c>
      <c r="E590" s="129"/>
      <c r="F590" s="95"/>
      <c r="G590" s="95"/>
      <c r="I590" t="str">
        <f>VLOOKUP(A590,bnc_Map!A:C,3,FALSE)</f>
        <v>[BnC-9W01] BnC Water</v>
      </c>
      <c r="J590" s="19">
        <v>-454745.06</v>
      </c>
      <c r="K590" s="16"/>
      <c r="L590" s="20"/>
    </row>
    <row r="591" spans="1:12" x14ac:dyDescent="0.45">
      <c r="A591" s="95" t="s">
        <v>1085</v>
      </c>
      <c r="B591" s="95" t="s">
        <v>1086</v>
      </c>
      <c r="C591" s="95" t="s">
        <v>0</v>
      </c>
      <c r="D591" s="129">
        <v>1840.39</v>
      </c>
      <c r="E591" s="129"/>
      <c r="F591" s="95">
        <v>160</v>
      </c>
      <c r="G591" s="95"/>
      <c r="I591" t="str">
        <f>VLOOKUP(A591,bnc_Map!A:C,3,FALSE)</f>
        <v>[BnC-9W01] BnC Water</v>
      </c>
      <c r="J591" s="19">
        <v>461519.39</v>
      </c>
      <c r="K591" s="16"/>
      <c r="L591" s="20"/>
    </row>
    <row r="592" spans="1:12" x14ac:dyDescent="0.45">
      <c r="A592" s="95" t="s">
        <v>1087</v>
      </c>
      <c r="B592" s="95" t="s">
        <v>1088</v>
      </c>
      <c r="C592" s="95" t="s">
        <v>0</v>
      </c>
      <c r="D592" s="129">
        <v>173.68</v>
      </c>
      <c r="E592" s="129"/>
      <c r="F592" s="95">
        <v>74.12</v>
      </c>
      <c r="G592" s="95"/>
      <c r="I592" t="str">
        <f>VLOOKUP(A592,bnc_Map!A:C,3,FALSE)</f>
        <v>[BnC-9W01] BnC Water</v>
      </c>
      <c r="J592" s="19">
        <f t="shared" ref="J592" si="0">D592-E592</f>
        <v>173.68</v>
      </c>
      <c r="K592" s="16"/>
    </row>
    <row r="593" spans="2:11" x14ac:dyDescent="0.45">
      <c r="D593" s="106">
        <f>SUM(D5:D592)</f>
        <v>32199055.720000029</v>
      </c>
      <c r="E593" s="106">
        <f>SUM(E5:E592)</f>
        <v>32199055.719999984</v>
      </c>
      <c r="F593" s="106">
        <f>SUM(F5:F592)</f>
        <v>7802147.6699999962</v>
      </c>
      <c r="G593" s="106">
        <f>SUM(G5:G592)</f>
        <v>7802147.6700000018</v>
      </c>
      <c r="K593" s="16"/>
    </row>
    <row r="594" spans="2:11" x14ac:dyDescent="0.45">
      <c r="K594" s="16"/>
    </row>
    <row r="595" spans="2:11" x14ac:dyDescent="0.45">
      <c r="D595" s="3">
        <f>SUM(D245:D592)</f>
        <v>17183377.669999994</v>
      </c>
      <c r="E595" s="3">
        <f>SUM(E245:E592)</f>
        <v>18358637.309999995</v>
      </c>
      <c r="F595" s="3">
        <f>SUM(F245:F592)</f>
        <v>4018049.48</v>
      </c>
      <c r="G595" s="3">
        <f>SUM(G245:G592)</f>
        <v>3307312.1999999997</v>
      </c>
      <c r="K595" s="16"/>
    </row>
    <row r="596" spans="2:11" x14ac:dyDescent="0.45">
      <c r="D596" s="3"/>
      <c r="E596" s="3"/>
      <c r="F596" s="3"/>
      <c r="G596" s="3"/>
      <c r="K596" s="16"/>
    </row>
    <row r="597" spans="2:11" x14ac:dyDescent="0.45">
      <c r="E597" s="131"/>
      <c r="K597" s="16"/>
    </row>
    <row r="598" spans="2:11" x14ac:dyDescent="0.45">
      <c r="B598" s="101">
        <f>D598-E6</f>
        <v>-1952418.2400000007</v>
      </c>
      <c r="C598" s="138" t="s">
        <v>1715</v>
      </c>
      <c r="D598" s="101">
        <f>(D595-E595)</f>
        <v>-1175259.6400000006</v>
      </c>
      <c r="E598" s="138" t="s">
        <v>1714</v>
      </c>
      <c r="F598" s="16">
        <f>(F595-G595)</f>
        <v>710737.28000000026</v>
      </c>
      <c r="H598" s="101"/>
      <c r="K598" s="16"/>
    </row>
    <row r="599" spans="2:11" x14ac:dyDescent="0.45">
      <c r="C599" s="136" t="s">
        <v>1716</v>
      </c>
      <c r="D599" s="101">
        <f>-D325</f>
        <v>-500000</v>
      </c>
      <c r="E599" s="139" t="s">
        <v>1717</v>
      </c>
      <c r="F599" s="16">
        <v>-2404521.5100000072</v>
      </c>
      <c r="H599" s="101"/>
      <c r="K599" s="16"/>
    </row>
    <row r="600" spans="2:11" x14ac:dyDescent="0.45">
      <c r="C600" s="136"/>
      <c r="D600" s="101"/>
      <c r="F600" s="101"/>
      <c r="H600" s="101"/>
      <c r="K600" s="16"/>
    </row>
    <row r="601" spans="2:11" x14ac:dyDescent="0.45">
      <c r="C601" s="119" t="s">
        <v>1718</v>
      </c>
      <c r="D601" s="137">
        <f>SUM(D598:D599)</f>
        <v>-1675259.6400000006</v>
      </c>
      <c r="F601" s="140">
        <f>SUM(F598:F600)</f>
        <v>-1693784.230000007</v>
      </c>
      <c r="H601" s="101" t="s">
        <v>1719</v>
      </c>
      <c r="I601" s="141">
        <f>D601-F601</f>
        <v>18524.59000000637</v>
      </c>
      <c r="K601" s="16"/>
    </row>
    <row r="602" spans="2:11" x14ac:dyDescent="0.45">
      <c r="K602" s="16"/>
    </row>
    <row r="603" spans="2:11" x14ac:dyDescent="0.45">
      <c r="D603" s="20"/>
      <c r="K603" s="16"/>
    </row>
    <row r="604" spans="2:11" x14ac:dyDescent="0.45">
      <c r="D604">
        <v>1675259.64</v>
      </c>
      <c r="F604" s="16">
        <v>-665664.11</v>
      </c>
      <c r="K604" s="16"/>
    </row>
    <row r="605" spans="2:11" x14ac:dyDescent="0.45">
      <c r="K605" s="16"/>
    </row>
    <row r="606" spans="2:11" x14ac:dyDescent="0.45">
      <c r="K606" s="16"/>
    </row>
    <row r="607" spans="2:11" x14ac:dyDescent="0.45">
      <c r="K607" s="16"/>
    </row>
    <row r="608" spans="2:11" x14ac:dyDescent="0.45">
      <c r="K608" s="16"/>
    </row>
    <row r="609" spans="11:11" x14ac:dyDescent="0.45">
      <c r="K609" s="16"/>
    </row>
    <row r="610" spans="11:11" x14ac:dyDescent="0.45">
      <c r="K610" s="16"/>
    </row>
    <row r="611" spans="11:11" x14ac:dyDescent="0.45">
      <c r="K611" s="16"/>
    </row>
    <row r="612" spans="11:11" x14ac:dyDescent="0.45">
      <c r="K612" s="16"/>
    </row>
    <row r="613" spans="11:11" x14ac:dyDescent="0.45">
      <c r="K613" s="16"/>
    </row>
    <row r="614" spans="11:11" x14ac:dyDescent="0.45">
      <c r="K614" s="16"/>
    </row>
    <row r="615" spans="11:11" x14ac:dyDescent="0.45">
      <c r="K615" s="16"/>
    </row>
    <row r="616" spans="11:11" x14ac:dyDescent="0.45">
      <c r="K616" s="16"/>
    </row>
    <row r="617" spans="11:11" x14ac:dyDescent="0.45">
      <c r="K617" s="16"/>
    </row>
    <row r="618" spans="11:11" x14ac:dyDescent="0.45">
      <c r="K618" s="16"/>
    </row>
    <row r="619" spans="11:11" x14ac:dyDescent="0.45">
      <c r="K619" s="16"/>
    </row>
    <row r="620" spans="11:11" x14ac:dyDescent="0.45">
      <c r="K620" s="16"/>
    </row>
    <row r="621" spans="11:11" x14ac:dyDescent="0.45">
      <c r="K621" s="16"/>
    </row>
    <row r="622" spans="11:11" x14ac:dyDescent="0.45">
      <c r="K622" s="16"/>
    </row>
    <row r="623" spans="11:11" x14ac:dyDescent="0.45">
      <c r="K623" s="16"/>
    </row>
    <row r="624" spans="11:11" x14ac:dyDescent="0.45">
      <c r="K624" s="16"/>
    </row>
    <row r="625" spans="11:11" x14ac:dyDescent="0.45">
      <c r="K625" s="16"/>
    </row>
    <row r="626" spans="11:11" x14ac:dyDescent="0.45">
      <c r="K626" s="16"/>
    </row>
    <row r="627" spans="11:11" x14ac:dyDescent="0.45">
      <c r="K627" s="16"/>
    </row>
    <row r="628" spans="11:11" x14ac:dyDescent="0.45">
      <c r="K628" s="16"/>
    </row>
    <row r="629" spans="11:11" x14ac:dyDescent="0.45">
      <c r="K629" s="16"/>
    </row>
    <row r="630" spans="11:11" x14ac:dyDescent="0.45">
      <c r="K630" s="16"/>
    </row>
    <row r="631" spans="11:11" x14ac:dyDescent="0.45">
      <c r="K631" s="16"/>
    </row>
    <row r="632" spans="11:11" x14ac:dyDescent="0.45">
      <c r="K632" s="16"/>
    </row>
    <row r="633" spans="11:11" x14ac:dyDescent="0.45">
      <c r="K633" s="16"/>
    </row>
    <row r="634" spans="11:11" x14ac:dyDescent="0.45">
      <c r="K634" s="16"/>
    </row>
    <row r="635" spans="11:11" x14ac:dyDescent="0.45">
      <c r="K635" s="16"/>
    </row>
    <row r="636" spans="11:11" x14ac:dyDescent="0.45">
      <c r="K636" s="16"/>
    </row>
    <row r="637" spans="11:11" x14ac:dyDescent="0.45">
      <c r="K637" s="16"/>
    </row>
    <row r="638" spans="11:11" x14ac:dyDescent="0.45">
      <c r="K638" s="16"/>
    </row>
    <row r="639" spans="11:11" x14ac:dyDescent="0.45">
      <c r="K639" s="16"/>
    </row>
    <row r="640" spans="11:11" x14ac:dyDescent="0.45">
      <c r="K640" s="16"/>
    </row>
    <row r="641" spans="11:11" x14ac:dyDescent="0.45">
      <c r="K641" s="16"/>
    </row>
    <row r="642" spans="11:11" x14ac:dyDescent="0.45">
      <c r="K642" s="16"/>
    </row>
    <row r="643" spans="11:11" x14ac:dyDescent="0.45">
      <c r="K643" s="16"/>
    </row>
    <row r="644" spans="11:11" x14ac:dyDescent="0.45">
      <c r="K644" s="16"/>
    </row>
    <row r="645" spans="11:11" x14ac:dyDescent="0.45">
      <c r="K645" s="16"/>
    </row>
    <row r="646" spans="11:11" x14ac:dyDescent="0.45">
      <c r="K646" s="16"/>
    </row>
    <row r="647" spans="11:11" x14ac:dyDescent="0.45">
      <c r="K647" s="16"/>
    </row>
    <row r="648" spans="11:11" x14ac:dyDescent="0.45">
      <c r="K648" s="16"/>
    </row>
    <row r="649" spans="11:11" x14ac:dyDescent="0.45">
      <c r="K649" s="16"/>
    </row>
    <row r="650" spans="11:11" x14ac:dyDescent="0.45">
      <c r="K650" s="16"/>
    </row>
    <row r="651" spans="11:11" x14ac:dyDescent="0.45">
      <c r="K651" s="16"/>
    </row>
    <row r="652" spans="11:11" x14ac:dyDescent="0.45">
      <c r="K652" s="16"/>
    </row>
    <row r="653" spans="11:11" x14ac:dyDescent="0.45">
      <c r="K653" s="16"/>
    </row>
    <row r="654" spans="11:11" x14ac:dyDescent="0.45">
      <c r="K654" s="16"/>
    </row>
    <row r="655" spans="11:11" x14ac:dyDescent="0.45">
      <c r="K655" s="16"/>
    </row>
    <row r="656" spans="11:11" x14ac:dyDescent="0.45">
      <c r="K656" s="16"/>
    </row>
    <row r="657" spans="11:11" x14ac:dyDescent="0.45">
      <c r="K657" s="16"/>
    </row>
    <row r="658" spans="11:11" x14ac:dyDescent="0.45">
      <c r="K658" s="16"/>
    </row>
    <row r="659" spans="11:11" x14ac:dyDescent="0.45">
      <c r="K659" s="16"/>
    </row>
    <row r="660" spans="11:11" x14ac:dyDescent="0.45">
      <c r="K660" s="16"/>
    </row>
    <row r="661" spans="11:11" x14ac:dyDescent="0.45">
      <c r="K661" s="16"/>
    </row>
    <row r="662" spans="11:11" x14ac:dyDescent="0.45">
      <c r="K662" s="16"/>
    </row>
    <row r="663" spans="11:11" x14ac:dyDescent="0.45">
      <c r="K663" s="16"/>
    </row>
    <row r="664" spans="11:11" x14ac:dyDescent="0.45">
      <c r="K664" s="16"/>
    </row>
    <row r="665" spans="11:11" x14ac:dyDescent="0.45">
      <c r="K665" s="16"/>
    </row>
    <row r="666" spans="11:11" x14ac:dyDescent="0.45">
      <c r="K666" s="16"/>
    </row>
    <row r="667" spans="11:11" x14ac:dyDescent="0.45">
      <c r="K667" s="16"/>
    </row>
    <row r="668" spans="11:11" x14ac:dyDescent="0.45">
      <c r="K668" s="16"/>
    </row>
    <row r="669" spans="11:11" x14ac:dyDescent="0.45">
      <c r="K669" s="16"/>
    </row>
    <row r="670" spans="11:11" x14ac:dyDescent="0.45">
      <c r="K670" s="16"/>
    </row>
    <row r="671" spans="11:11" x14ac:dyDescent="0.45">
      <c r="K671" s="16"/>
    </row>
    <row r="672" spans="11:11" x14ac:dyDescent="0.45">
      <c r="K672" s="16"/>
    </row>
    <row r="673" spans="11:11" x14ac:dyDescent="0.45">
      <c r="K673" s="16"/>
    </row>
    <row r="674" spans="11:11" x14ac:dyDescent="0.45">
      <c r="K674" s="16"/>
    </row>
    <row r="675" spans="11:11" x14ac:dyDescent="0.45">
      <c r="K675" s="16"/>
    </row>
    <row r="676" spans="11:11" x14ac:dyDescent="0.45">
      <c r="K676" s="16"/>
    </row>
    <row r="677" spans="11:11" x14ac:dyDescent="0.45">
      <c r="K677" s="16"/>
    </row>
    <row r="678" spans="11:11" x14ac:dyDescent="0.45">
      <c r="K678" s="16"/>
    </row>
    <row r="679" spans="11:11" x14ac:dyDescent="0.45">
      <c r="K679" s="16"/>
    </row>
    <row r="680" spans="11:11" x14ac:dyDescent="0.45">
      <c r="K680" s="16"/>
    </row>
    <row r="681" spans="11:11" x14ac:dyDescent="0.45">
      <c r="K681" s="16"/>
    </row>
    <row r="682" spans="11:11" x14ac:dyDescent="0.45">
      <c r="K682" s="16"/>
    </row>
    <row r="683" spans="11:11" x14ac:dyDescent="0.45">
      <c r="K683" s="16"/>
    </row>
    <row r="684" spans="11:11" x14ac:dyDescent="0.45">
      <c r="K684" s="16"/>
    </row>
    <row r="685" spans="11:11" x14ac:dyDescent="0.45">
      <c r="K685" s="16"/>
    </row>
    <row r="686" spans="11:11" x14ac:dyDescent="0.45">
      <c r="K686" s="16"/>
    </row>
    <row r="687" spans="11:11" x14ac:dyDescent="0.45">
      <c r="K687" s="16"/>
    </row>
    <row r="688" spans="11:11" x14ac:dyDescent="0.45">
      <c r="K688" s="16"/>
    </row>
    <row r="689" spans="11:11" x14ac:dyDescent="0.45">
      <c r="K689" s="16"/>
    </row>
    <row r="690" spans="11:11" x14ac:dyDescent="0.45">
      <c r="K690" s="16"/>
    </row>
    <row r="691" spans="11:11" x14ac:dyDescent="0.45">
      <c r="K691" s="16"/>
    </row>
    <row r="692" spans="11:11" x14ac:dyDescent="0.45">
      <c r="K692" s="16"/>
    </row>
    <row r="693" spans="11:11" x14ac:dyDescent="0.45">
      <c r="K693" s="16"/>
    </row>
    <row r="694" spans="11:11" x14ac:dyDescent="0.45">
      <c r="K694" s="16"/>
    </row>
    <row r="695" spans="11:11" x14ac:dyDescent="0.45">
      <c r="K695" s="16"/>
    </row>
    <row r="696" spans="11:11" x14ac:dyDescent="0.45">
      <c r="K696" s="16"/>
    </row>
    <row r="697" spans="11:11" x14ac:dyDescent="0.45">
      <c r="K697" s="16"/>
    </row>
    <row r="698" spans="11:11" x14ac:dyDescent="0.45">
      <c r="K698" s="16"/>
    </row>
    <row r="699" spans="11:11" x14ac:dyDescent="0.45">
      <c r="K699" s="16"/>
    </row>
    <row r="700" spans="11:11" x14ac:dyDescent="0.45">
      <c r="K700" s="16"/>
    </row>
    <row r="701" spans="11:11" x14ac:dyDescent="0.45">
      <c r="K701" s="16"/>
    </row>
    <row r="702" spans="11:11" x14ac:dyDescent="0.45">
      <c r="K702" s="16"/>
    </row>
    <row r="703" spans="11:11" x14ac:dyDescent="0.45">
      <c r="K703" s="16"/>
    </row>
    <row r="704" spans="11:11" x14ac:dyDescent="0.45">
      <c r="K704" s="16"/>
    </row>
    <row r="705" spans="11:11" x14ac:dyDescent="0.45">
      <c r="K705" s="16"/>
    </row>
    <row r="706" spans="11:11" x14ac:dyDescent="0.45">
      <c r="K706" s="16"/>
    </row>
    <row r="707" spans="11:11" x14ac:dyDescent="0.45">
      <c r="K707" s="16"/>
    </row>
    <row r="708" spans="11:11" x14ac:dyDescent="0.45">
      <c r="K708" s="16"/>
    </row>
    <row r="709" spans="11:11" x14ac:dyDescent="0.45">
      <c r="K709" s="16"/>
    </row>
    <row r="710" spans="11:11" x14ac:dyDescent="0.45">
      <c r="K710" s="16"/>
    </row>
    <row r="711" spans="11:11" x14ac:dyDescent="0.45">
      <c r="K711" s="16"/>
    </row>
    <row r="712" spans="11:11" x14ac:dyDescent="0.45">
      <c r="K712" s="16"/>
    </row>
    <row r="713" spans="11:11" x14ac:dyDescent="0.45">
      <c r="K713" s="16"/>
    </row>
    <row r="714" spans="11:11" x14ac:dyDescent="0.45">
      <c r="K714" s="16"/>
    </row>
    <row r="715" spans="11:11" x14ac:dyDescent="0.45">
      <c r="K715" s="16"/>
    </row>
  </sheetData>
  <sheetProtection algorithmName="SHA-512" hashValue="Y20QszK7qQwWagdE1hU+iJshBeOjFnoRdicyjnnnUL1Q3zmLz9xf99vKwzOlp35AjrW7Y/tzbC/5Jlox8vtHlQ==" saltValue="j5Q/nxPsVuRMNkLiC7Xy4g==" spinCount="100000" sheet="1" objects="1" scenarios="1" selectLockedCells="1" selectUnlockedCells="1"/>
  <mergeCells count="3">
    <mergeCell ref="A1:G1"/>
    <mergeCell ref="A2:G2"/>
    <mergeCell ref="A3:G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BABDE-4CA0-4AF5-BA01-1FEC1EF2F078}">
  <dimension ref="A1:C588"/>
  <sheetViews>
    <sheetView workbookViewId="0">
      <selection activeCell="D1" sqref="D1"/>
    </sheetView>
  </sheetViews>
  <sheetFormatPr defaultRowHeight="14.25" x14ac:dyDescent="0.45"/>
  <cols>
    <col min="1" max="1" width="11.33203125" bestFit="1" customWidth="1"/>
    <col min="2" max="2" width="42.796875" bestFit="1" customWidth="1"/>
    <col min="3" max="3" width="49.9296875" bestFit="1" customWidth="1"/>
    <col min="4" max="4" width="37.73046875" bestFit="1" customWidth="1"/>
  </cols>
  <sheetData>
    <row r="1" spans="1:3" x14ac:dyDescent="0.45">
      <c r="A1" s="233" t="s">
        <v>1322</v>
      </c>
      <c r="B1" s="233" t="s">
        <v>1323</v>
      </c>
      <c r="C1" s="233" t="s">
        <v>1324</v>
      </c>
    </row>
    <row r="2" spans="1:3" x14ac:dyDescent="0.45">
      <c r="A2" t="s">
        <v>9</v>
      </c>
      <c r="B2" t="s">
        <v>10</v>
      </c>
      <c r="C2" t="s">
        <v>1384</v>
      </c>
    </row>
    <row r="3" spans="1:3" x14ac:dyDescent="0.45">
      <c r="A3" t="s">
        <v>11</v>
      </c>
      <c r="B3" t="s">
        <v>12</v>
      </c>
      <c r="C3" t="s">
        <v>1385</v>
      </c>
    </row>
    <row r="4" spans="1:3" x14ac:dyDescent="0.45">
      <c r="A4" t="s">
        <v>13</v>
      </c>
      <c r="B4" t="s">
        <v>14</v>
      </c>
      <c r="C4" t="s">
        <v>1398</v>
      </c>
    </row>
    <row r="5" spans="1:3" x14ac:dyDescent="0.45">
      <c r="A5" t="s">
        <v>15</v>
      </c>
      <c r="B5" t="s">
        <v>16</v>
      </c>
      <c r="C5" t="s">
        <v>1399</v>
      </c>
    </row>
    <row r="6" spans="1:3" x14ac:dyDescent="0.45">
      <c r="A6" t="s">
        <v>17</v>
      </c>
      <c r="B6" t="s">
        <v>18</v>
      </c>
      <c r="C6" t="s">
        <v>1398</v>
      </c>
    </row>
    <row r="7" spans="1:3" x14ac:dyDescent="0.45">
      <c r="A7" t="s">
        <v>19</v>
      </c>
      <c r="B7" t="s">
        <v>20</v>
      </c>
      <c r="C7" t="s">
        <v>1399</v>
      </c>
    </row>
    <row r="8" spans="1:3" x14ac:dyDescent="0.45">
      <c r="A8" t="s">
        <v>21</v>
      </c>
      <c r="B8" t="s">
        <v>22</v>
      </c>
      <c r="C8" t="s">
        <v>1398</v>
      </c>
    </row>
    <row r="9" spans="1:3" x14ac:dyDescent="0.45">
      <c r="A9" t="s">
        <v>23</v>
      </c>
      <c r="B9" t="s">
        <v>24</v>
      </c>
      <c r="C9" t="s">
        <v>1399</v>
      </c>
    </row>
    <row r="10" spans="1:3" x14ac:dyDescent="0.45">
      <c r="A10" t="s">
        <v>25</v>
      </c>
      <c r="B10" t="s">
        <v>26</v>
      </c>
      <c r="C10" t="s">
        <v>1398</v>
      </c>
    </row>
    <row r="11" spans="1:3" x14ac:dyDescent="0.45">
      <c r="A11" t="s">
        <v>27</v>
      </c>
      <c r="B11" t="s">
        <v>28</v>
      </c>
      <c r="C11" t="s">
        <v>1399</v>
      </c>
    </row>
    <row r="12" spans="1:3" x14ac:dyDescent="0.45">
      <c r="A12" t="s">
        <v>29</v>
      </c>
      <c r="B12" t="s">
        <v>30</v>
      </c>
      <c r="C12" t="s">
        <v>1398</v>
      </c>
    </row>
    <row r="13" spans="1:3" x14ac:dyDescent="0.45">
      <c r="A13" t="s">
        <v>31</v>
      </c>
      <c r="B13" t="s">
        <v>32</v>
      </c>
      <c r="C13" t="s">
        <v>1399</v>
      </c>
    </row>
    <row r="14" spans="1:3" x14ac:dyDescent="0.45">
      <c r="A14" t="s">
        <v>33</v>
      </c>
      <c r="B14" t="s">
        <v>34</v>
      </c>
      <c r="C14" t="s">
        <v>1398</v>
      </c>
    </row>
    <row r="15" spans="1:3" x14ac:dyDescent="0.45">
      <c r="A15" t="s">
        <v>35</v>
      </c>
      <c r="B15" t="s">
        <v>36</v>
      </c>
      <c r="C15" t="s">
        <v>1399</v>
      </c>
    </row>
    <row r="16" spans="1:3" x14ac:dyDescent="0.45">
      <c r="A16" t="s">
        <v>37</v>
      </c>
      <c r="B16" t="s">
        <v>38</v>
      </c>
      <c r="C16" t="s">
        <v>1398</v>
      </c>
    </row>
    <row r="17" spans="1:3" x14ac:dyDescent="0.45">
      <c r="A17" t="s">
        <v>39</v>
      </c>
      <c r="B17" t="s">
        <v>40</v>
      </c>
      <c r="C17" t="s">
        <v>1399</v>
      </c>
    </row>
    <row r="18" spans="1:3" x14ac:dyDescent="0.45">
      <c r="A18" t="s">
        <v>41</v>
      </c>
      <c r="B18" t="s">
        <v>42</v>
      </c>
      <c r="C18" t="s">
        <v>1398</v>
      </c>
    </row>
    <row r="19" spans="1:3" x14ac:dyDescent="0.45">
      <c r="A19" t="s">
        <v>43</v>
      </c>
      <c r="B19" t="s">
        <v>44</v>
      </c>
      <c r="C19" t="s">
        <v>1399</v>
      </c>
    </row>
    <row r="20" spans="1:3" x14ac:dyDescent="0.45">
      <c r="A20" t="s">
        <v>45</v>
      </c>
      <c r="B20" t="s">
        <v>46</v>
      </c>
      <c r="C20" t="s">
        <v>1398</v>
      </c>
    </row>
    <row r="21" spans="1:3" x14ac:dyDescent="0.45">
      <c r="A21" t="s">
        <v>47</v>
      </c>
      <c r="B21" t="s">
        <v>48</v>
      </c>
      <c r="C21" t="s">
        <v>1399</v>
      </c>
    </row>
    <row r="22" spans="1:3" x14ac:dyDescent="0.45">
      <c r="A22" t="s">
        <v>49</v>
      </c>
      <c r="B22" t="s">
        <v>50</v>
      </c>
      <c r="C22" t="s">
        <v>1398</v>
      </c>
    </row>
    <row r="23" spans="1:3" x14ac:dyDescent="0.45">
      <c r="A23" t="s">
        <v>51</v>
      </c>
      <c r="B23" t="s">
        <v>52</v>
      </c>
      <c r="C23" t="s">
        <v>1399</v>
      </c>
    </row>
    <row r="24" spans="1:3" x14ac:dyDescent="0.45">
      <c r="A24" t="s">
        <v>53</v>
      </c>
      <c r="B24" t="s">
        <v>54</v>
      </c>
      <c r="C24" t="s">
        <v>1398</v>
      </c>
    </row>
    <row r="25" spans="1:3" x14ac:dyDescent="0.45">
      <c r="A25" t="s">
        <v>55</v>
      </c>
      <c r="B25" t="s">
        <v>56</v>
      </c>
      <c r="C25" t="s">
        <v>1399</v>
      </c>
    </row>
    <row r="26" spans="1:3" x14ac:dyDescent="0.45">
      <c r="A26" t="s">
        <v>57</v>
      </c>
      <c r="B26" t="s">
        <v>58</v>
      </c>
      <c r="C26" t="s">
        <v>1398</v>
      </c>
    </row>
    <row r="27" spans="1:3" x14ac:dyDescent="0.45">
      <c r="A27" t="s">
        <v>59</v>
      </c>
      <c r="B27" t="s">
        <v>60</v>
      </c>
      <c r="C27" t="s">
        <v>1399</v>
      </c>
    </row>
    <row r="28" spans="1:3" x14ac:dyDescent="0.45">
      <c r="A28" t="s">
        <v>61</v>
      </c>
      <c r="B28" t="s">
        <v>62</v>
      </c>
      <c r="C28" t="s">
        <v>1398</v>
      </c>
    </row>
    <row r="29" spans="1:3" x14ac:dyDescent="0.45">
      <c r="A29" t="s">
        <v>63</v>
      </c>
      <c r="B29" t="s">
        <v>64</v>
      </c>
      <c r="C29" t="s">
        <v>1399</v>
      </c>
    </row>
    <row r="30" spans="1:3" x14ac:dyDescent="0.45">
      <c r="A30" t="s">
        <v>65</v>
      </c>
      <c r="B30" t="s">
        <v>66</v>
      </c>
      <c r="C30" t="s">
        <v>1398</v>
      </c>
    </row>
    <row r="31" spans="1:3" x14ac:dyDescent="0.45">
      <c r="A31" t="s">
        <v>67</v>
      </c>
      <c r="B31" t="s">
        <v>68</v>
      </c>
      <c r="C31" t="s">
        <v>1399</v>
      </c>
    </row>
    <row r="32" spans="1:3" x14ac:dyDescent="0.45">
      <c r="A32" t="s">
        <v>69</v>
      </c>
      <c r="B32" t="s">
        <v>70</v>
      </c>
      <c r="C32" t="s">
        <v>1398</v>
      </c>
    </row>
    <row r="33" spans="1:3" x14ac:dyDescent="0.45">
      <c r="A33" t="s">
        <v>71</v>
      </c>
      <c r="B33" t="s">
        <v>72</v>
      </c>
      <c r="C33" t="s">
        <v>1399</v>
      </c>
    </row>
    <row r="34" spans="1:3" x14ac:dyDescent="0.45">
      <c r="A34" t="s">
        <v>73</v>
      </c>
      <c r="B34" t="s">
        <v>74</v>
      </c>
      <c r="C34" t="s">
        <v>1400</v>
      </c>
    </row>
    <row r="35" spans="1:3" x14ac:dyDescent="0.45">
      <c r="A35" t="s">
        <v>75</v>
      </c>
      <c r="B35" t="s">
        <v>76</v>
      </c>
      <c r="C35" t="s">
        <v>1401</v>
      </c>
    </row>
    <row r="36" spans="1:3" x14ac:dyDescent="0.45">
      <c r="A36" t="s">
        <v>77</v>
      </c>
      <c r="B36" t="s">
        <v>78</v>
      </c>
      <c r="C36" t="s">
        <v>1400</v>
      </c>
    </row>
    <row r="37" spans="1:3" x14ac:dyDescent="0.45">
      <c r="A37" t="s">
        <v>79</v>
      </c>
      <c r="B37" t="s">
        <v>80</v>
      </c>
      <c r="C37" t="s">
        <v>1401</v>
      </c>
    </row>
    <row r="38" spans="1:3" x14ac:dyDescent="0.45">
      <c r="A38" t="s">
        <v>81</v>
      </c>
      <c r="B38" t="s">
        <v>82</v>
      </c>
      <c r="C38" t="s">
        <v>1400</v>
      </c>
    </row>
    <row r="39" spans="1:3" x14ac:dyDescent="0.45">
      <c r="A39" t="s">
        <v>83</v>
      </c>
      <c r="B39" t="s">
        <v>84</v>
      </c>
      <c r="C39" t="s">
        <v>1401</v>
      </c>
    </row>
    <row r="40" spans="1:3" x14ac:dyDescent="0.45">
      <c r="A40" t="s">
        <v>85</v>
      </c>
      <c r="B40" t="s">
        <v>86</v>
      </c>
      <c r="C40" t="s">
        <v>1400</v>
      </c>
    </row>
    <row r="41" spans="1:3" x14ac:dyDescent="0.45">
      <c r="A41" t="s">
        <v>87</v>
      </c>
      <c r="B41" t="s">
        <v>88</v>
      </c>
      <c r="C41" t="s">
        <v>1401</v>
      </c>
    </row>
    <row r="42" spans="1:3" x14ac:dyDescent="0.45">
      <c r="A42" t="s">
        <v>89</v>
      </c>
      <c r="B42" t="s">
        <v>90</v>
      </c>
      <c r="C42" t="s">
        <v>1402</v>
      </c>
    </row>
    <row r="43" spans="1:3" x14ac:dyDescent="0.45">
      <c r="A43" t="s">
        <v>91</v>
      </c>
      <c r="B43" t="s">
        <v>92</v>
      </c>
      <c r="C43" t="s">
        <v>1403</v>
      </c>
    </row>
    <row r="44" spans="1:3" x14ac:dyDescent="0.45">
      <c r="A44" t="s">
        <v>93</v>
      </c>
      <c r="B44" t="s">
        <v>94</v>
      </c>
      <c r="C44" t="s">
        <v>1402</v>
      </c>
    </row>
    <row r="45" spans="1:3" x14ac:dyDescent="0.45">
      <c r="A45" t="s">
        <v>95</v>
      </c>
      <c r="B45" t="s">
        <v>96</v>
      </c>
      <c r="C45" t="s">
        <v>1403</v>
      </c>
    </row>
    <row r="46" spans="1:3" x14ac:dyDescent="0.45">
      <c r="A46" t="s">
        <v>97</v>
      </c>
      <c r="B46" t="s">
        <v>98</v>
      </c>
      <c r="C46" t="s">
        <v>1402</v>
      </c>
    </row>
    <row r="47" spans="1:3" x14ac:dyDescent="0.45">
      <c r="A47" t="s">
        <v>99</v>
      </c>
      <c r="B47" t="s">
        <v>100</v>
      </c>
      <c r="C47" t="s">
        <v>1403</v>
      </c>
    </row>
    <row r="48" spans="1:3" x14ac:dyDescent="0.45">
      <c r="A48" t="s">
        <v>101</v>
      </c>
      <c r="B48" t="s">
        <v>102</v>
      </c>
      <c r="C48" t="s">
        <v>1402</v>
      </c>
    </row>
    <row r="49" spans="1:3" x14ac:dyDescent="0.45">
      <c r="A49" t="s">
        <v>103</v>
      </c>
      <c r="B49" t="s">
        <v>104</v>
      </c>
      <c r="C49" t="s">
        <v>1403</v>
      </c>
    </row>
    <row r="50" spans="1:3" x14ac:dyDescent="0.45">
      <c r="A50" t="s">
        <v>105</v>
      </c>
      <c r="B50" t="s">
        <v>106</v>
      </c>
      <c r="C50" t="s">
        <v>1402</v>
      </c>
    </row>
    <row r="51" spans="1:3" x14ac:dyDescent="0.45">
      <c r="A51" t="s">
        <v>107</v>
      </c>
      <c r="B51" t="s">
        <v>108</v>
      </c>
      <c r="C51" t="s">
        <v>1403</v>
      </c>
    </row>
    <row r="52" spans="1:3" x14ac:dyDescent="0.45">
      <c r="A52" t="s">
        <v>109</v>
      </c>
      <c r="B52" t="s">
        <v>110</v>
      </c>
      <c r="C52" t="s">
        <v>1402</v>
      </c>
    </row>
    <row r="53" spans="1:3" x14ac:dyDescent="0.45">
      <c r="A53" t="s">
        <v>111</v>
      </c>
      <c r="B53" t="s">
        <v>112</v>
      </c>
      <c r="C53" t="s">
        <v>1403</v>
      </c>
    </row>
    <row r="54" spans="1:3" x14ac:dyDescent="0.45">
      <c r="A54" t="s">
        <v>113</v>
      </c>
      <c r="B54" t="s">
        <v>114</v>
      </c>
      <c r="C54" t="s">
        <v>1402</v>
      </c>
    </row>
    <row r="55" spans="1:3" x14ac:dyDescent="0.45">
      <c r="A55" t="s">
        <v>115</v>
      </c>
      <c r="B55" t="s">
        <v>116</v>
      </c>
      <c r="C55" t="s">
        <v>1403</v>
      </c>
    </row>
    <row r="56" spans="1:3" x14ac:dyDescent="0.45">
      <c r="A56" t="s">
        <v>117</v>
      </c>
      <c r="B56" t="s">
        <v>118</v>
      </c>
      <c r="C56" t="s">
        <v>1402</v>
      </c>
    </row>
    <row r="57" spans="1:3" x14ac:dyDescent="0.45">
      <c r="A57" t="s">
        <v>119</v>
      </c>
      <c r="B57" t="s">
        <v>120</v>
      </c>
      <c r="C57" t="s">
        <v>1403</v>
      </c>
    </row>
    <row r="58" spans="1:3" x14ac:dyDescent="0.45">
      <c r="A58" t="s">
        <v>121</v>
      </c>
      <c r="B58" t="s">
        <v>122</v>
      </c>
      <c r="C58" t="s">
        <v>1402</v>
      </c>
    </row>
    <row r="59" spans="1:3" x14ac:dyDescent="0.45">
      <c r="A59" t="s">
        <v>123</v>
      </c>
      <c r="B59" t="s">
        <v>124</v>
      </c>
      <c r="C59" t="s">
        <v>1403</v>
      </c>
    </row>
    <row r="60" spans="1:3" x14ac:dyDescent="0.45">
      <c r="A60" t="s">
        <v>125</v>
      </c>
      <c r="B60" t="s">
        <v>126</v>
      </c>
      <c r="C60" t="s">
        <v>1402</v>
      </c>
    </row>
    <row r="61" spans="1:3" x14ac:dyDescent="0.45">
      <c r="A61" t="s">
        <v>127</v>
      </c>
      <c r="B61" t="s">
        <v>128</v>
      </c>
      <c r="C61" t="s">
        <v>1403</v>
      </c>
    </row>
    <row r="62" spans="1:3" x14ac:dyDescent="0.45">
      <c r="A62" t="s">
        <v>129</v>
      </c>
      <c r="B62" t="s">
        <v>130</v>
      </c>
      <c r="C62" t="s">
        <v>1402</v>
      </c>
    </row>
    <row r="63" spans="1:3" x14ac:dyDescent="0.45">
      <c r="A63" t="s">
        <v>131</v>
      </c>
      <c r="B63" t="s">
        <v>132</v>
      </c>
      <c r="C63" t="s">
        <v>1403</v>
      </c>
    </row>
    <row r="64" spans="1:3" x14ac:dyDescent="0.45">
      <c r="A64" t="s">
        <v>133</v>
      </c>
      <c r="B64" t="s">
        <v>134</v>
      </c>
      <c r="C64" t="s">
        <v>1402</v>
      </c>
    </row>
    <row r="65" spans="1:3" x14ac:dyDescent="0.45">
      <c r="A65" t="s">
        <v>135</v>
      </c>
      <c r="B65" t="s">
        <v>136</v>
      </c>
      <c r="C65" t="s">
        <v>1403</v>
      </c>
    </row>
    <row r="66" spans="1:3" x14ac:dyDescent="0.45">
      <c r="A66" t="s">
        <v>137</v>
      </c>
      <c r="B66" t="s">
        <v>138</v>
      </c>
      <c r="C66" t="s">
        <v>1402</v>
      </c>
    </row>
    <row r="67" spans="1:3" x14ac:dyDescent="0.45">
      <c r="A67" t="s">
        <v>139</v>
      </c>
      <c r="B67" t="s">
        <v>140</v>
      </c>
      <c r="C67" t="s">
        <v>1403</v>
      </c>
    </row>
    <row r="68" spans="1:3" x14ac:dyDescent="0.45">
      <c r="A68" t="s">
        <v>141</v>
      </c>
      <c r="B68" t="s">
        <v>142</v>
      </c>
      <c r="C68" t="s">
        <v>1402</v>
      </c>
    </row>
    <row r="69" spans="1:3" x14ac:dyDescent="0.45">
      <c r="A69" t="s">
        <v>143</v>
      </c>
      <c r="B69" t="s">
        <v>144</v>
      </c>
      <c r="C69" t="s">
        <v>1403</v>
      </c>
    </row>
    <row r="70" spans="1:3" x14ac:dyDescent="0.45">
      <c r="A70" t="s">
        <v>145</v>
      </c>
      <c r="B70" t="s">
        <v>146</v>
      </c>
      <c r="C70" t="s">
        <v>1402</v>
      </c>
    </row>
    <row r="71" spans="1:3" x14ac:dyDescent="0.45">
      <c r="A71" t="s">
        <v>147</v>
      </c>
      <c r="B71" t="s">
        <v>148</v>
      </c>
      <c r="C71" t="s">
        <v>1403</v>
      </c>
    </row>
    <row r="72" spans="1:3" x14ac:dyDescent="0.45">
      <c r="A72" t="s">
        <v>149</v>
      </c>
      <c r="B72" t="s">
        <v>150</v>
      </c>
      <c r="C72" t="s">
        <v>1386</v>
      </c>
    </row>
    <row r="73" spans="1:3" x14ac:dyDescent="0.45">
      <c r="A73" t="s">
        <v>151</v>
      </c>
      <c r="B73" t="s">
        <v>152</v>
      </c>
      <c r="C73" t="s">
        <v>1404</v>
      </c>
    </row>
    <row r="74" spans="1:3" x14ac:dyDescent="0.45">
      <c r="A74" t="s">
        <v>153</v>
      </c>
      <c r="B74" t="s">
        <v>154</v>
      </c>
      <c r="C74" t="s">
        <v>1404</v>
      </c>
    </row>
    <row r="75" spans="1:3" x14ac:dyDescent="0.45">
      <c r="A75" t="s">
        <v>1564</v>
      </c>
      <c r="B75" t="s">
        <v>1565</v>
      </c>
      <c r="C75" t="s">
        <v>1404</v>
      </c>
    </row>
    <row r="76" spans="1:3" x14ac:dyDescent="0.45">
      <c r="A76" t="s">
        <v>155</v>
      </c>
      <c r="B76" t="s">
        <v>156</v>
      </c>
      <c r="C76" t="s">
        <v>1404</v>
      </c>
    </row>
    <row r="77" spans="1:3" x14ac:dyDescent="0.45">
      <c r="A77" t="s">
        <v>1566</v>
      </c>
      <c r="B77" t="s">
        <v>1567</v>
      </c>
      <c r="C77" t="s">
        <v>1404</v>
      </c>
    </row>
    <row r="78" spans="1:3" x14ac:dyDescent="0.45">
      <c r="A78" t="s">
        <v>157</v>
      </c>
      <c r="B78" t="s">
        <v>158</v>
      </c>
      <c r="C78" t="s">
        <v>1405</v>
      </c>
    </row>
    <row r="79" spans="1:3" x14ac:dyDescent="0.45">
      <c r="A79" t="s">
        <v>159</v>
      </c>
      <c r="B79" t="s">
        <v>160</v>
      </c>
      <c r="C79" t="s">
        <v>1406</v>
      </c>
    </row>
    <row r="80" spans="1:3" x14ac:dyDescent="0.45">
      <c r="A80" t="s">
        <v>161</v>
      </c>
      <c r="B80" t="s">
        <v>162</v>
      </c>
      <c r="C80" t="s">
        <v>1405</v>
      </c>
    </row>
    <row r="81" spans="1:3" x14ac:dyDescent="0.45">
      <c r="A81" t="s">
        <v>163</v>
      </c>
      <c r="B81" t="s">
        <v>164</v>
      </c>
      <c r="C81" t="s">
        <v>1406</v>
      </c>
    </row>
    <row r="82" spans="1:3" x14ac:dyDescent="0.45">
      <c r="A82" t="s">
        <v>165</v>
      </c>
      <c r="B82" t="s">
        <v>166</v>
      </c>
      <c r="C82" t="s">
        <v>1405</v>
      </c>
    </row>
    <row r="83" spans="1:3" x14ac:dyDescent="0.45">
      <c r="A83" t="s">
        <v>167</v>
      </c>
      <c r="B83" t="s">
        <v>168</v>
      </c>
      <c r="C83" t="s">
        <v>1406</v>
      </c>
    </row>
    <row r="84" spans="1:3" x14ac:dyDescent="0.45">
      <c r="A84" t="s">
        <v>169</v>
      </c>
      <c r="B84" t="s">
        <v>170</v>
      </c>
      <c r="C84" t="s">
        <v>1405</v>
      </c>
    </row>
    <row r="85" spans="1:3" x14ac:dyDescent="0.45">
      <c r="A85" t="s">
        <v>171</v>
      </c>
      <c r="B85" t="s">
        <v>172</v>
      </c>
      <c r="C85" t="s">
        <v>1406</v>
      </c>
    </row>
    <row r="86" spans="1:3" x14ac:dyDescent="0.45">
      <c r="A86" t="s">
        <v>173</v>
      </c>
      <c r="B86" t="s">
        <v>174</v>
      </c>
      <c r="C86" t="s">
        <v>1405</v>
      </c>
    </row>
    <row r="87" spans="1:3" x14ac:dyDescent="0.45">
      <c r="A87" t="s">
        <v>175</v>
      </c>
      <c r="B87" t="s">
        <v>176</v>
      </c>
      <c r="C87" t="s">
        <v>1406</v>
      </c>
    </row>
    <row r="88" spans="1:3" x14ac:dyDescent="0.45">
      <c r="A88" t="s">
        <v>177</v>
      </c>
      <c r="B88" t="s">
        <v>178</v>
      </c>
      <c r="C88" t="s">
        <v>1405</v>
      </c>
    </row>
    <row r="89" spans="1:3" x14ac:dyDescent="0.45">
      <c r="A89" t="s">
        <v>179</v>
      </c>
      <c r="B89" t="s">
        <v>180</v>
      </c>
      <c r="C89" t="s">
        <v>1406</v>
      </c>
    </row>
    <row r="90" spans="1:3" x14ac:dyDescent="0.45">
      <c r="A90" t="s">
        <v>181</v>
      </c>
      <c r="B90" t="s">
        <v>182</v>
      </c>
      <c r="C90" t="s">
        <v>1405</v>
      </c>
    </row>
    <row r="91" spans="1:3" x14ac:dyDescent="0.45">
      <c r="A91" t="s">
        <v>183</v>
      </c>
      <c r="B91" t="s">
        <v>184</v>
      </c>
      <c r="C91" t="s">
        <v>1406</v>
      </c>
    </row>
    <row r="92" spans="1:3" x14ac:dyDescent="0.45">
      <c r="A92" t="s">
        <v>185</v>
      </c>
      <c r="B92" t="s">
        <v>186</v>
      </c>
      <c r="C92" t="s">
        <v>1405</v>
      </c>
    </row>
    <row r="93" spans="1:3" x14ac:dyDescent="0.45">
      <c r="A93" t="s">
        <v>187</v>
      </c>
      <c r="B93" t="s">
        <v>188</v>
      </c>
      <c r="C93" t="s">
        <v>1406</v>
      </c>
    </row>
    <row r="94" spans="1:3" x14ac:dyDescent="0.45">
      <c r="A94" t="s">
        <v>189</v>
      </c>
      <c r="B94" t="s">
        <v>190</v>
      </c>
      <c r="C94" t="s">
        <v>1405</v>
      </c>
    </row>
    <row r="95" spans="1:3" x14ac:dyDescent="0.45">
      <c r="A95" t="s">
        <v>191</v>
      </c>
      <c r="B95" t="s">
        <v>192</v>
      </c>
      <c r="C95" t="s">
        <v>1406</v>
      </c>
    </row>
    <row r="96" spans="1:3" x14ac:dyDescent="0.45">
      <c r="A96" t="s">
        <v>193</v>
      </c>
      <c r="B96" t="s">
        <v>194</v>
      </c>
      <c r="C96" t="s">
        <v>1405</v>
      </c>
    </row>
    <row r="97" spans="1:3" x14ac:dyDescent="0.45">
      <c r="A97" t="s">
        <v>195</v>
      </c>
      <c r="B97" t="s">
        <v>196</v>
      </c>
      <c r="C97" t="s">
        <v>1406</v>
      </c>
    </row>
    <row r="98" spans="1:3" x14ac:dyDescent="0.45">
      <c r="A98" t="s">
        <v>197</v>
      </c>
      <c r="B98" t="s">
        <v>198</v>
      </c>
      <c r="C98" t="s">
        <v>1405</v>
      </c>
    </row>
    <row r="99" spans="1:3" x14ac:dyDescent="0.45">
      <c r="A99" t="s">
        <v>199</v>
      </c>
      <c r="B99" t="s">
        <v>200</v>
      </c>
      <c r="C99" t="s">
        <v>1406</v>
      </c>
    </row>
    <row r="100" spans="1:3" x14ac:dyDescent="0.45">
      <c r="A100" t="s">
        <v>201</v>
      </c>
      <c r="B100" t="s">
        <v>202</v>
      </c>
      <c r="C100" t="s">
        <v>1405</v>
      </c>
    </row>
    <row r="101" spans="1:3" x14ac:dyDescent="0.45">
      <c r="A101" t="s">
        <v>203</v>
      </c>
      <c r="B101" t="s">
        <v>204</v>
      </c>
      <c r="C101" t="s">
        <v>1406</v>
      </c>
    </row>
    <row r="102" spans="1:3" x14ac:dyDescent="0.45">
      <c r="A102" t="s">
        <v>205</v>
      </c>
      <c r="B102" t="s">
        <v>206</v>
      </c>
      <c r="C102" t="s">
        <v>1407</v>
      </c>
    </row>
    <row r="103" spans="1:3" x14ac:dyDescent="0.45">
      <c r="A103" t="s">
        <v>207</v>
      </c>
      <c r="B103" t="s">
        <v>208</v>
      </c>
      <c r="C103" t="s">
        <v>1408</v>
      </c>
    </row>
    <row r="104" spans="1:3" x14ac:dyDescent="0.45">
      <c r="A104" t="s">
        <v>209</v>
      </c>
      <c r="B104" t="s">
        <v>210</v>
      </c>
      <c r="C104" t="s">
        <v>1407</v>
      </c>
    </row>
    <row r="105" spans="1:3" x14ac:dyDescent="0.45">
      <c r="A105" t="s">
        <v>211</v>
      </c>
      <c r="B105" t="s">
        <v>212</v>
      </c>
      <c r="C105" t="s">
        <v>1408</v>
      </c>
    </row>
    <row r="106" spans="1:3" x14ac:dyDescent="0.45">
      <c r="A106" t="s">
        <v>213</v>
      </c>
      <c r="B106" t="s">
        <v>214</v>
      </c>
      <c r="C106" t="s">
        <v>1407</v>
      </c>
    </row>
    <row r="107" spans="1:3" x14ac:dyDescent="0.45">
      <c r="A107" t="s">
        <v>215</v>
      </c>
      <c r="B107" t="s">
        <v>216</v>
      </c>
      <c r="C107" t="s">
        <v>1408</v>
      </c>
    </row>
    <row r="108" spans="1:3" x14ac:dyDescent="0.45">
      <c r="A108" t="s">
        <v>217</v>
      </c>
      <c r="B108" t="s">
        <v>218</v>
      </c>
      <c r="C108" t="s">
        <v>1407</v>
      </c>
    </row>
    <row r="109" spans="1:3" x14ac:dyDescent="0.45">
      <c r="A109" t="s">
        <v>219</v>
      </c>
      <c r="B109" t="s">
        <v>220</v>
      </c>
      <c r="C109" t="s">
        <v>1408</v>
      </c>
    </row>
    <row r="110" spans="1:3" x14ac:dyDescent="0.45">
      <c r="A110" t="s">
        <v>221</v>
      </c>
      <c r="B110" t="s">
        <v>222</v>
      </c>
      <c r="C110" t="s">
        <v>1407</v>
      </c>
    </row>
    <row r="111" spans="1:3" x14ac:dyDescent="0.45">
      <c r="A111" t="s">
        <v>223</v>
      </c>
      <c r="B111" t="s">
        <v>224</v>
      </c>
      <c r="C111" t="s">
        <v>1408</v>
      </c>
    </row>
    <row r="112" spans="1:3" x14ac:dyDescent="0.45">
      <c r="A112" t="s">
        <v>225</v>
      </c>
      <c r="B112" t="s">
        <v>226</v>
      </c>
      <c r="C112" t="s">
        <v>1407</v>
      </c>
    </row>
    <row r="113" spans="1:3" x14ac:dyDescent="0.45">
      <c r="A113" t="s">
        <v>227</v>
      </c>
      <c r="B113" t="s">
        <v>228</v>
      </c>
      <c r="C113" t="s">
        <v>1408</v>
      </c>
    </row>
    <row r="114" spans="1:3" x14ac:dyDescent="0.45">
      <c r="A114" t="s">
        <v>229</v>
      </c>
      <c r="B114" t="s">
        <v>230</v>
      </c>
      <c r="C114" t="s">
        <v>1407</v>
      </c>
    </row>
    <row r="115" spans="1:3" x14ac:dyDescent="0.45">
      <c r="A115" t="s">
        <v>231</v>
      </c>
      <c r="B115" t="s">
        <v>232</v>
      </c>
      <c r="C115" t="s">
        <v>1408</v>
      </c>
    </row>
    <row r="116" spans="1:3" x14ac:dyDescent="0.45">
      <c r="A116" t="s">
        <v>233</v>
      </c>
      <c r="B116" t="s">
        <v>234</v>
      </c>
      <c r="C116" t="s">
        <v>1407</v>
      </c>
    </row>
    <row r="117" spans="1:3" x14ac:dyDescent="0.45">
      <c r="A117" t="s">
        <v>235</v>
      </c>
      <c r="B117" t="s">
        <v>236</v>
      </c>
      <c r="C117" t="s">
        <v>1408</v>
      </c>
    </row>
    <row r="118" spans="1:3" x14ac:dyDescent="0.45">
      <c r="A118" t="s">
        <v>237</v>
      </c>
      <c r="B118" t="s">
        <v>238</v>
      </c>
      <c r="C118" t="s">
        <v>1407</v>
      </c>
    </row>
    <row r="119" spans="1:3" x14ac:dyDescent="0.45">
      <c r="A119" t="s">
        <v>239</v>
      </c>
      <c r="B119" t="s">
        <v>240</v>
      </c>
      <c r="C119" t="s">
        <v>1408</v>
      </c>
    </row>
    <row r="120" spans="1:3" x14ac:dyDescent="0.45">
      <c r="A120" t="s">
        <v>241</v>
      </c>
      <c r="B120" t="s">
        <v>242</v>
      </c>
      <c r="C120" t="s">
        <v>1407</v>
      </c>
    </row>
    <row r="121" spans="1:3" x14ac:dyDescent="0.45">
      <c r="A121" t="s">
        <v>243</v>
      </c>
      <c r="B121" t="s">
        <v>244</v>
      </c>
      <c r="C121" t="s">
        <v>1408</v>
      </c>
    </row>
    <row r="122" spans="1:3" x14ac:dyDescent="0.45">
      <c r="A122" t="s">
        <v>245</v>
      </c>
      <c r="B122" t="s">
        <v>246</v>
      </c>
      <c r="C122" t="s">
        <v>1407</v>
      </c>
    </row>
    <row r="123" spans="1:3" x14ac:dyDescent="0.45">
      <c r="A123" t="s">
        <v>247</v>
      </c>
      <c r="B123" t="s">
        <v>248</v>
      </c>
      <c r="C123" t="s">
        <v>1408</v>
      </c>
    </row>
    <row r="124" spans="1:3" x14ac:dyDescent="0.45">
      <c r="A124" t="s">
        <v>249</v>
      </c>
      <c r="B124" t="s">
        <v>250</v>
      </c>
      <c r="C124" t="s">
        <v>1407</v>
      </c>
    </row>
    <row r="125" spans="1:3" x14ac:dyDescent="0.45">
      <c r="A125" t="s">
        <v>251</v>
      </c>
      <c r="B125" t="s">
        <v>252</v>
      </c>
      <c r="C125" t="s">
        <v>1408</v>
      </c>
    </row>
    <row r="126" spans="1:3" x14ac:dyDescent="0.45">
      <c r="A126" t="s">
        <v>253</v>
      </c>
      <c r="B126" t="s">
        <v>254</v>
      </c>
      <c r="C126" t="s">
        <v>1407</v>
      </c>
    </row>
    <row r="127" spans="1:3" x14ac:dyDescent="0.45">
      <c r="A127" t="s">
        <v>255</v>
      </c>
      <c r="B127" t="s">
        <v>256</v>
      </c>
      <c r="C127" t="s">
        <v>1408</v>
      </c>
    </row>
    <row r="128" spans="1:3" x14ac:dyDescent="0.45">
      <c r="A128" t="s">
        <v>257</v>
      </c>
      <c r="B128" t="s">
        <v>258</v>
      </c>
      <c r="C128" t="s">
        <v>1407</v>
      </c>
    </row>
    <row r="129" spans="1:3" x14ac:dyDescent="0.45">
      <c r="A129" t="s">
        <v>259</v>
      </c>
      <c r="B129" t="s">
        <v>260</v>
      </c>
      <c r="C129" t="s">
        <v>1408</v>
      </c>
    </row>
    <row r="130" spans="1:3" x14ac:dyDescent="0.45">
      <c r="A130" t="s">
        <v>261</v>
      </c>
      <c r="B130" t="s">
        <v>262</v>
      </c>
      <c r="C130" t="s">
        <v>1407</v>
      </c>
    </row>
    <row r="131" spans="1:3" x14ac:dyDescent="0.45">
      <c r="A131" t="s">
        <v>263</v>
      </c>
      <c r="B131" t="s">
        <v>264</v>
      </c>
      <c r="C131" t="s">
        <v>1408</v>
      </c>
    </row>
    <row r="132" spans="1:3" x14ac:dyDescent="0.45">
      <c r="A132" t="s">
        <v>265</v>
      </c>
      <c r="B132" t="s">
        <v>266</v>
      </c>
      <c r="C132" t="s">
        <v>1409</v>
      </c>
    </row>
    <row r="133" spans="1:3" x14ac:dyDescent="0.45">
      <c r="A133" t="s">
        <v>267</v>
      </c>
      <c r="B133" t="s">
        <v>268</v>
      </c>
      <c r="C133" t="s">
        <v>1410</v>
      </c>
    </row>
    <row r="134" spans="1:3" x14ac:dyDescent="0.45">
      <c r="A134" t="s">
        <v>269</v>
      </c>
      <c r="B134" t="s">
        <v>270</v>
      </c>
      <c r="C134" t="s">
        <v>1409</v>
      </c>
    </row>
    <row r="135" spans="1:3" x14ac:dyDescent="0.45">
      <c r="A135" t="s">
        <v>271</v>
      </c>
      <c r="B135" t="s">
        <v>272</v>
      </c>
      <c r="C135" t="s">
        <v>1410</v>
      </c>
    </row>
    <row r="136" spans="1:3" x14ac:dyDescent="0.45">
      <c r="A136" t="s">
        <v>273</v>
      </c>
      <c r="B136" t="s">
        <v>274</v>
      </c>
      <c r="C136" t="s">
        <v>1409</v>
      </c>
    </row>
    <row r="137" spans="1:3" x14ac:dyDescent="0.45">
      <c r="A137" t="s">
        <v>275</v>
      </c>
      <c r="B137" t="s">
        <v>276</v>
      </c>
      <c r="C137" t="s">
        <v>1410</v>
      </c>
    </row>
    <row r="138" spans="1:3" x14ac:dyDescent="0.45">
      <c r="A138" t="s">
        <v>277</v>
      </c>
      <c r="B138" t="s">
        <v>278</v>
      </c>
      <c r="C138" t="s">
        <v>1409</v>
      </c>
    </row>
    <row r="139" spans="1:3" x14ac:dyDescent="0.45">
      <c r="A139" t="s">
        <v>279</v>
      </c>
      <c r="B139" t="s">
        <v>280</v>
      </c>
      <c r="C139" t="s">
        <v>1410</v>
      </c>
    </row>
    <row r="140" spans="1:3" x14ac:dyDescent="0.45">
      <c r="A140" t="s">
        <v>281</v>
      </c>
      <c r="B140" t="s">
        <v>282</v>
      </c>
      <c r="C140" t="s">
        <v>1409</v>
      </c>
    </row>
    <row r="141" spans="1:3" x14ac:dyDescent="0.45">
      <c r="A141" t="s">
        <v>283</v>
      </c>
      <c r="B141" t="s">
        <v>284</v>
      </c>
      <c r="C141" t="s">
        <v>1410</v>
      </c>
    </row>
    <row r="142" spans="1:3" x14ac:dyDescent="0.45">
      <c r="A142" t="s">
        <v>285</v>
      </c>
      <c r="B142" t="s">
        <v>286</v>
      </c>
      <c r="C142" t="s">
        <v>1409</v>
      </c>
    </row>
    <row r="143" spans="1:3" x14ac:dyDescent="0.45">
      <c r="A143" t="s">
        <v>287</v>
      </c>
      <c r="B143" t="s">
        <v>288</v>
      </c>
      <c r="C143" t="s">
        <v>1410</v>
      </c>
    </row>
    <row r="144" spans="1:3" x14ac:dyDescent="0.45">
      <c r="A144" t="s">
        <v>289</v>
      </c>
      <c r="B144" t="s">
        <v>290</v>
      </c>
      <c r="C144" t="s">
        <v>1409</v>
      </c>
    </row>
    <row r="145" spans="1:3" x14ac:dyDescent="0.45">
      <c r="A145" t="s">
        <v>291</v>
      </c>
      <c r="B145" t="s">
        <v>292</v>
      </c>
      <c r="C145" t="s">
        <v>1410</v>
      </c>
    </row>
    <row r="146" spans="1:3" x14ac:dyDescent="0.45">
      <c r="A146" t="s">
        <v>293</v>
      </c>
      <c r="B146" t="s">
        <v>294</v>
      </c>
      <c r="C146" t="s">
        <v>1409</v>
      </c>
    </row>
    <row r="147" spans="1:3" x14ac:dyDescent="0.45">
      <c r="A147" t="s">
        <v>295</v>
      </c>
      <c r="B147" t="s">
        <v>296</v>
      </c>
      <c r="C147" t="s">
        <v>1410</v>
      </c>
    </row>
    <row r="148" spans="1:3" x14ac:dyDescent="0.45">
      <c r="A148" t="s">
        <v>297</v>
      </c>
      <c r="B148" t="s">
        <v>298</v>
      </c>
      <c r="C148" t="s">
        <v>1409</v>
      </c>
    </row>
    <row r="149" spans="1:3" x14ac:dyDescent="0.45">
      <c r="A149" t="s">
        <v>299</v>
      </c>
      <c r="B149" t="s">
        <v>300</v>
      </c>
      <c r="C149" t="s">
        <v>1410</v>
      </c>
    </row>
    <row r="150" spans="1:3" x14ac:dyDescent="0.45">
      <c r="A150" t="s">
        <v>301</v>
      </c>
      <c r="B150" t="s">
        <v>302</v>
      </c>
      <c r="C150" t="s">
        <v>1409</v>
      </c>
    </row>
    <row r="151" spans="1:3" x14ac:dyDescent="0.45">
      <c r="A151" t="s">
        <v>303</v>
      </c>
      <c r="B151" t="s">
        <v>304</v>
      </c>
      <c r="C151" t="s">
        <v>1410</v>
      </c>
    </row>
    <row r="152" spans="1:3" x14ac:dyDescent="0.45">
      <c r="A152" t="s">
        <v>305</v>
      </c>
      <c r="B152" t="s">
        <v>306</v>
      </c>
      <c r="C152" t="s">
        <v>1409</v>
      </c>
    </row>
    <row r="153" spans="1:3" x14ac:dyDescent="0.45">
      <c r="A153" t="s">
        <v>307</v>
      </c>
      <c r="B153" t="s">
        <v>308</v>
      </c>
      <c r="C153" t="s">
        <v>1410</v>
      </c>
    </row>
    <row r="154" spans="1:3" x14ac:dyDescent="0.45">
      <c r="A154" t="s">
        <v>309</v>
      </c>
      <c r="B154" t="s">
        <v>310</v>
      </c>
      <c r="C154" t="s">
        <v>1409</v>
      </c>
    </row>
    <row r="155" spans="1:3" x14ac:dyDescent="0.45">
      <c r="A155" t="s">
        <v>311</v>
      </c>
      <c r="B155" t="s">
        <v>312</v>
      </c>
      <c r="C155" t="s">
        <v>1410</v>
      </c>
    </row>
    <row r="156" spans="1:3" x14ac:dyDescent="0.45">
      <c r="A156" t="s">
        <v>313</v>
      </c>
      <c r="B156" t="s">
        <v>314</v>
      </c>
      <c r="C156" t="s">
        <v>1409</v>
      </c>
    </row>
    <row r="157" spans="1:3" x14ac:dyDescent="0.45">
      <c r="A157" t="s">
        <v>315</v>
      </c>
      <c r="B157" t="s">
        <v>316</v>
      </c>
      <c r="C157" t="s">
        <v>1410</v>
      </c>
    </row>
    <row r="158" spans="1:3" x14ac:dyDescent="0.45">
      <c r="A158" t="s">
        <v>317</v>
      </c>
      <c r="B158" t="s">
        <v>318</v>
      </c>
      <c r="C158" t="s">
        <v>1411</v>
      </c>
    </row>
    <row r="159" spans="1:3" x14ac:dyDescent="0.45">
      <c r="A159" t="s">
        <v>319</v>
      </c>
      <c r="B159" t="s">
        <v>320</v>
      </c>
      <c r="C159" t="s">
        <v>1412</v>
      </c>
    </row>
    <row r="160" spans="1:3" x14ac:dyDescent="0.45">
      <c r="A160" t="s">
        <v>321</v>
      </c>
      <c r="B160" t="s">
        <v>322</v>
      </c>
      <c r="C160" t="s">
        <v>1387</v>
      </c>
    </row>
    <row r="161" spans="1:3" x14ac:dyDescent="0.45">
      <c r="A161" t="s">
        <v>323</v>
      </c>
      <c r="B161" t="s">
        <v>324</v>
      </c>
      <c r="C161" t="s">
        <v>1413</v>
      </c>
    </row>
    <row r="162" spans="1:3" x14ac:dyDescent="0.45">
      <c r="A162" t="s">
        <v>325</v>
      </c>
      <c r="B162" t="s">
        <v>326</v>
      </c>
      <c r="C162" t="s">
        <v>1413</v>
      </c>
    </row>
    <row r="163" spans="1:3" x14ac:dyDescent="0.45">
      <c r="A163" t="s">
        <v>327</v>
      </c>
      <c r="B163" t="s">
        <v>328</v>
      </c>
      <c r="C163" t="s">
        <v>1413</v>
      </c>
    </row>
    <row r="164" spans="1:3" x14ac:dyDescent="0.45">
      <c r="A164" t="s">
        <v>329</v>
      </c>
      <c r="B164" t="s">
        <v>330</v>
      </c>
      <c r="C164" t="s">
        <v>1413</v>
      </c>
    </row>
    <row r="165" spans="1:3" x14ac:dyDescent="0.45">
      <c r="A165" t="s">
        <v>331</v>
      </c>
      <c r="B165" t="s">
        <v>332</v>
      </c>
      <c r="C165" t="s">
        <v>1413</v>
      </c>
    </row>
    <row r="166" spans="1:3" x14ac:dyDescent="0.45">
      <c r="A166" t="s">
        <v>333</v>
      </c>
      <c r="B166" t="s">
        <v>334</v>
      </c>
      <c r="C166" t="s">
        <v>1413</v>
      </c>
    </row>
    <row r="167" spans="1:3" x14ac:dyDescent="0.45">
      <c r="A167" t="s">
        <v>335</v>
      </c>
      <c r="B167" t="s">
        <v>336</v>
      </c>
      <c r="C167" t="s">
        <v>1413</v>
      </c>
    </row>
    <row r="168" spans="1:3" x14ac:dyDescent="0.45">
      <c r="A168" t="s">
        <v>337</v>
      </c>
      <c r="B168" t="s">
        <v>338</v>
      </c>
      <c r="C168" t="s">
        <v>1413</v>
      </c>
    </row>
    <row r="169" spans="1:3" x14ac:dyDescent="0.45">
      <c r="A169" t="s">
        <v>339</v>
      </c>
      <c r="B169" t="s">
        <v>340</v>
      </c>
      <c r="C169" t="s">
        <v>1413</v>
      </c>
    </row>
    <row r="170" spans="1:3" x14ac:dyDescent="0.45">
      <c r="A170" t="s">
        <v>341</v>
      </c>
      <c r="B170" t="s">
        <v>342</v>
      </c>
      <c r="C170" t="s">
        <v>1413</v>
      </c>
    </row>
    <row r="171" spans="1:3" x14ac:dyDescent="0.45">
      <c r="A171" t="s">
        <v>343</v>
      </c>
      <c r="B171" t="s">
        <v>344</v>
      </c>
      <c r="C171" t="s">
        <v>1413</v>
      </c>
    </row>
    <row r="172" spans="1:3" x14ac:dyDescent="0.45">
      <c r="A172" t="s">
        <v>345</v>
      </c>
      <c r="B172" t="s">
        <v>346</v>
      </c>
      <c r="C172" t="s">
        <v>1413</v>
      </c>
    </row>
    <row r="173" spans="1:3" x14ac:dyDescent="0.45">
      <c r="A173" t="s">
        <v>347</v>
      </c>
      <c r="B173" t="s">
        <v>348</v>
      </c>
      <c r="C173" t="s">
        <v>1413</v>
      </c>
    </row>
    <row r="174" spans="1:3" x14ac:dyDescent="0.45">
      <c r="A174" t="s">
        <v>349</v>
      </c>
      <c r="B174" t="s">
        <v>350</v>
      </c>
      <c r="C174" t="s">
        <v>1413</v>
      </c>
    </row>
    <row r="175" spans="1:3" x14ac:dyDescent="0.45">
      <c r="A175" t="s">
        <v>351</v>
      </c>
      <c r="B175" t="s">
        <v>352</v>
      </c>
      <c r="C175" t="s">
        <v>1413</v>
      </c>
    </row>
    <row r="176" spans="1:3" x14ac:dyDescent="0.45">
      <c r="A176" t="s">
        <v>353</v>
      </c>
      <c r="B176" t="s">
        <v>354</v>
      </c>
      <c r="C176" t="s">
        <v>1388</v>
      </c>
    </row>
    <row r="177" spans="1:3" x14ac:dyDescent="0.45">
      <c r="A177" t="s">
        <v>355</v>
      </c>
      <c r="B177" t="s">
        <v>356</v>
      </c>
      <c r="C177" t="s">
        <v>1414</v>
      </c>
    </row>
    <row r="178" spans="1:3" x14ac:dyDescent="0.45">
      <c r="A178" t="s">
        <v>357</v>
      </c>
      <c r="B178" t="s">
        <v>358</v>
      </c>
      <c r="C178" t="s">
        <v>1415</v>
      </c>
    </row>
    <row r="179" spans="1:3" x14ac:dyDescent="0.45">
      <c r="A179" t="s">
        <v>359</v>
      </c>
      <c r="B179" t="s">
        <v>360</v>
      </c>
      <c r="C179" t="s">
        <v>1416</v>
      </c>
    </row>
    <row r="180" spans="1:3" x14ac:dyDescent="0.45">
      <c r="A180" t="s">
        <v>361</v>
      </c>
      <c r="B180" t="s">
        <v>362</v>
      </c>
      <c r="C180" t="s">
        <v>1417</v>
      </c>
    </row>
    <row r="181" spans="1:3" x14ac:dyDescent="0.45">
      <c r="A181" t="s">
        <v>363</v>
      </c>
      <c r="B181" t="s">
        <v>364</v>
      </c>
      <c r="C181" t="s">
        <v>1418</v>
      </c>
    </row>
    <row r="182" spans="1:3" x14ac:dyDescent="0.45">
      <c r="A182" t="s">
        <v>365</v>
      </c>
      <c r="B182" t="s">
        <v>366</v>
      </c>
      <c r="C182" t="s">
        <v>1389</v>
      </c>
    </row>
    <row r="183" spans="1:3" x14ac:dyDescent="0.45">
      <c r="A183" t="s">
        <v>367</v>
      </c>
      <c r="B183" t="s">
        <v>368</v>
      </c>
      <c r="C183" t="s">
        <v>1389</v>
      </c>
    </row>
    <row r="184" spans="1:3" x14ac:dyDescent="0.45">
      <c r="A184" t="s">
        <v>369</v>
      </c>
      <c r="B184" t="s">
        <v>370</v>
      </c>
      <c r="C184" t="s">
        <v>1419</v>
      </c>
    </row>
    <row r="185" spans="1:3" x14ac:dyDescent="0.45">
      <c r="A185" t="s">
        <v>371</v>
      </c>
      <c r="B185" t="s">
        <v>372</v>
      </c>
      <c r="C185" t="s">
        <v>1390</v>
      </c>
    </row>
    <row r="186" spans="1:3" x14ac:dyDescent="0.45">
      <c r="A186" t="s">
        <v>373</v>
      </c>
      <c r="B186" t="s">
        <v>374</v>
      </c>
      <c r="C186" t="s">
        <v>1391</v>
      </c>
    </row>
    <row r="187" spans="1:3" x14ac:dyDescent="0.45">
      <c r="A187" t="s">
        <v>375</v>
      </c>
      <c r="B187" t="s">
        <v>376</v>
      </c>
      <c r="C187" t="s">
        <v>1420</v>
      </c>
    </row>
    <row r="188" spans="1:3" x14ac:dyDescent="0.45">
      <c r="A188" t="s">
        <v>377</v>
      </c>
      <c r="B188" t="s">
        <v>378</v>
      </c>
      <c r="C188" t="s">
        <v>1390</v>
      </c>
    </row>
    <row r="189" spans="1:3" x14ac:dyDescent="0.45">
      <c r="A189" t="s">
        <v>379</v>
      </c>
      <c r="B189" t="s">
        <v>380</v>
      </c>
      <c r="C189" t="s">
        <v>1390</v>
      </c>
    </row>
    <row r="190" spans="1:3" x14ac:dyDescent="0.45">
      <c r="A190" t="s">
        <v>381</v>
      </c>
      <c r="B190" t="s">
        <v>382</v>
      </c>
      <c r="C190" t="s">
        <v>1390</v>
      </c>
    </row>
    <row r="191" spans="1:3" x14ac:dyDescent="0.45">
      <c r="A191" t="s">
        <v>383</v>
      </c>
      <c r="B191" t="s">
        <v>384</v>
      </c>
      <c r="C191" t="s">
        <v>1390</v>
      </c>
    </row>
    <row r="192" spans="1:3" x14ac:dyDescent="0.45">
      <c r="A192" t="s">
        <v>385</v>
      </c>
      <c r="B192" t="s">
        <v>386</v>
      </c>
      <c r="C192" t="s">
        <v>1421</v>
      </c>
    </row>
    <row r="193" spans="1:3" x14ac:dyDescent="0.45">
      <c r="A193" t="s">
        <v>387</v>
      </c>
      <c r="B193" t="s">
        <v>388</v>
      </c>
      <c r="C193" t="s">
        <v>1421</v>
      </c>
    </row>
    <row r="194" spans="1:3" x14ac:dyDescent="0.45">
      <c r="A194" t="s">
        <v>389</v>
      </c>
      <c r="B194" t="s">
        <v>390</v>
      </c>
      <c r="C194" t="s">
        <v>1421</v>
      </c>
    </row>
    <row r="195" spans="1:3" x14ac:dyDescent="0.45">
      <c r="A195" t="s">
        <v>391</v>
      </c>
      <c r="B195" t="s">
        <v>392</v>
      </c>
      <c r="C195" t="s">
        <v>1421</v>
      </c>
    </row>
    <row r="196" spans="1:3" x14ac:dyDescent="0.45">
      <c r="A196" t="s">
        <v>393</v>
      </c>
      <c r="B196" t="s">
        <v>394</v>
      </c>
      <c r="C196" t="s">
        <v>1421</v>
      </c>
    </row>
    <row r="197" spans="1:3" x14ac:dyDescent="0.45">
      <c r="A197" t="s">
        <v>395</v>
      </c>
      <c r="B197" t="s">
        <v>396</v>
      </c>
      <c r="C197" t="s">
        <v>1421</v>
      </c>
    </row>
    <row r="198" spans="1:3" x14ac:dyDescent="0.45">
      <c r="A198" t="s">
        <v>397</v>
      </c>
      <c r="B198" t="s">
        <v>398</v>
      </c>
      <c r="C198" t="s">
        <v>1421</v>
      </c>
    </row>
    <row r="199" spans="1:3" x14ac:dyDescent="0.45">
      <c r="A199" t="s">
        <v>399</v>
      </c>
      <c r="B199" t="s">
        <v>400</v>
      </c>
      <c r="C199" t="s">
        <v>1421</v>
      </c>
    </row>
    <row r="200" spans="1:3" x14ac:dyDescent="0.45">
      <c r="A200" t="s">
        <v>401</v>
      </c>
      <c r="B200" t="s">
        <v>402</v>
      </c>
      <c r="C200" t="s">
        <v>1421</v>
      </c>
    </row>
    <row r="201" spans="1:3" x14ac:dyDescent="0.45">
      <c r="A201" t="s">
        <v>403</v>
      </c>
      <c r="B201" t="s">
        <v>404</v>
      </c>
      <c r="C201" t="s">
        <v>1421</v>
      </c>
    </row>
    <row r="202" spans="1:3" x14ac:dyDescent="0.45">
      <c r="A202" t="s">
        <v>405</v>
      </c>
      <c r="B202" t="s">
        <v>406</v>
      </c>
      <c r="C202" t="s">
        <v>1421</v>
      </c>
    </row>
    <row r="203" spans="1:3" x14ac:dyDescent="0.45">
      <c r="A203" s="97" t="s">
        <v>1568</v>
      </c>
      <c r="B203" s="97" t="s">
        <v>1569</v>
      </c>
      <c r="C203" t="s">
        <v>1421</v>
      </c>
    </row>
    <row r="204" spans="1:3" x14ac:dyDescent="0.45">
      <c r="A204" s="97" t="s">
        <v>1570</v>
      </c>
      <c r="B204" s="97" t="s">
        <v>1571</v>
      </c>
      <c r="C204" t="s">
        <v>1421</v>
      </c>
    </row>
    <row r="205" spans="1:3" x14ac:dyDescent="0.45">
      <c r="A205" s="97" t="s">
        <v>1572</v>
      </c>
      <c r="B205" s="97" t="s">
        <v>1573</v>
      </c>
      <c r="C205" t="s">
        <v>1421</v>
      </c>
    </row>
    <row r="206" spans="1:3" x14ac:dyDescent="0.45">
      <c r="A206" t="s">
        <v>407</v>
      </c>
      <c r="B206" t="s">
        <v>408</v>
      </c>
      <c r="C206" t="s">
        <v>1421</v>
      </c>
    </row>
    <row r="207" spans="1:3" x14ac:dyDescent="0.45">
      <c r="A207" t="s">
        <v>409</v>
      </c>
      <c r="B207" t="s">
        <v>410</v>
      </c>
      <c r="C207" t="s">
        <v>1421</v>
      </c>
    </row>
    <row r="208" spans="1:3" x14ac:dyDescent="0.45">
      <c r="A208" t="s">
        <v>411</v>
      </c>
      <c r="B208" t="s">
        <v>412</v>
      </c>
      <c r="C208" t="s">
        <v>1392</v>
      </c>
    </row>
    <row r="209" spans="1:3" x14ac:dyDescent="0.45">
      <c r="A209" t="s">
        <v>413</v>
      </c>
      <c r="B209" t="s">
        <v>414</v>
      </c>
      <c r="C209" t="s">
        <v>1422</v>
      </c>
    </row>
    <row r="210" spans="1:3" x14ac:dyDescent="0.45">
      <c r="A210" t="s">
        <v>415</v>
      </c>
      <c r="B210" t="s">
        <v>416</v>
      </c>
      <c r="C210" t="s">
        <v>1393</v>
      </c>
    </row>
    <row r="211" spans="1:3" x14ac:dyDescent="0.45">
      <c r="A211" t="s">
        <v>417</v>
      </c>
      <c r="B211" t="s">
        <v>418</v>
      </c>
      <c r="C211" t="s">
        <v>1394</v>
      </c>
    </row>
    <row r="212" spans="1:3" x14ac:dyDescent="0.45">
      <c r="A212" t="s">
        <v>419</v>
      </c>
      <c r="B212" t="s">
        <v>420</v>
      </c>
      <c r="C212" t="s">
        <v>1423</v>
      </c>
    </row>
    <row r="213" spans="1:3" x14ac:dyDescent="0.45">
      <c r="A213" t="s">
        <v>421</v>
      </c>
      <c r="B213" t="s">
        <v>422</v>
      </c>
      <c r="C213" t="s">
        <v>1424</v>
      </c>
    </row>
    <row r="214" spans="1:3" x14ac:dyDescent="0.45">
      <c r="A214" t="s">
        <v>423</v>
      </c>
      <c r="B214" t="s">
        <v>424</v>
      </c>
      <c r="C214" t="s">
        <v>1425</v>
      </c>
    </row>
    <row r="215" spans="1:3" x14ac:dyDescent="0.45">
      <c r="A215" t="s">
        <v>425</v>
      </c>
      <c r="B215" t="s">
        <v>426</v>
      </c>
      <c r="C215" t="s">
        <v>1425</v>
      </c>
    </row>
    <row r="216" spans="1:3" x14ac:dyDescent="0.45">
      <c r="A216" t="s">
        <v>427</v>
      </c>
      <c r="B216" t="s">
        <v>428</v>
      </c>
      <c r="C216" t="s">
        <v>1425</v>
      </c>
    </row>
    <row r="217" spans="1:3" x14ac:dyDescent="0.45">
      <c r="A217" t="s">
        <v>429</v>
      </c>
      <c r="B217" t="s">
        <v>430</v>
      </c>
      <c r="C217" t="s">
        <v>1425</v>
      </c>
    </row>
    <row r="218" spans="1:3" x14ac:dyDescent="0.45">
      <c r="A218" t="s">
        <v>431</v>
      </c>
      <c r="B218" t="s">
        <v>432</v>
      </c>
      <c r="C218" t="s">
        <v>1425</v>
      </c>
    </row>
    <row r="219" spans="1:3" x14ac:dyDescent="0.45">
      <c r="A219" t="s">
        <v>433</v>
      </c>
      <c r="B219" t="s">
        <v>434</v>
      </c>
      <c r="C219" t="s">
        <v>1425</v>
      </c>
    </row>
    <row r="220" spans="1:3" x14ac:dyDescent="0.45">
      <c r="A220" t="s">
        <v>435</v>
      </c>
      <c r="B220" t="s">
        <v>436</v>
      </c>
      <c r="C220" t="s">
        <v>1425</v>
      </c>
    </row>
    <row r="221" spans="1:3" x14ac:dyDescent="0.45">
      <c r="A221" t="s">
        <v>437</v>
      </c>
      <c r="B221" t="s">
        <v>438</v>
      </c>
      <c r="C221" t="s">
        <v>1425</v>
      </c>
    </row>
    <row r="222" spans="1:3" x14ac:dyDescent="0.45">
      <c r="A222" t="s">
        <v>439</v>
      </c>
      <c r="B222" t="s">
        <v>440</v>
      </c>
      <c r="C222" t="s">
        <v>1425</v>
      </c>
    </row>
    <row r="223" spans="1:3" x14ac:dyDescent="0.45">
      <c r="A223" t="s">
        <v>441</v>
      </c>
      <c r="B223" t="s">
        <v>442</v>
      </c>
      <c r="C223" t="s">
        <v>1425</v>
      </c>
    </row>
    <row r="224" spans="1:3" x14ac:dyDescent="0.45">
      <c r="A224" t="s">
        <v>443</v>
      </c>
      <c r="B224" t="s">
        <v>444</v>
      </c>
      <c r="C224" t="s">
        <v>1425</v>
      </c>
    </row>
    <row r="225" spans="1:3" x14ac:dyDescent="0.45">
      <c r="A225" s="97" t="s">
        <v>1574</v>
      </c>
      <c r="B225" s="97" t="s">
        <v>1575</v>
      </c>
      <c r="C225" t="s">
        <v>1425</v>
      </c>
    </row>
    <row r="226" spans="1:3" x14ac:dyDescent="0.45">
      <c r="A226" s="97" t="s">
        <v>1576</v>
      </c>
      <c r="B226" s="97" t="s">
        <v>1577</v>
      </c>
      <c r="C226" t="s">
        <v>1425</v>
      </c>
    </row>
    <row r="227" spans="1:3" x14ac:dyDescent="0.45">
      <c r="A227" s="97" t="s">
        <v>1578</v>
      </c>
      <c r="B227" s="97" t="s">
        <v>1579</v>
      </c>
      <c r="C227" t="s">
        <v>1425</v>
      </c>
    </row>
    <row r="228" spans="1:3" x14ac:dyDescent="0.45">
      <c r="A228" t="s">
        <v>445</v>
      </c>
      <c r="B228" t="s">
        <v>446</v>
      </c>
      <c r="C228" t="s">
        <v>1425</v>
      </c>
    </row>
    <row r="229" spans="1:3" x14ac:dyDescent="0.45">
      <c r="A229" t="s">
        <v>447</v>
      </c>
      <c r="B229" t="s">
        <v>448</v>
      </c>
      <c r="C229" t="s">
        <v>1425</v>
      </c>
    </row>
    <row r="230" spans="1:3" x14ac:dyDescent="0.45">
      <c r="A230" t="s">
        <v>449</v>
      </c>
      <c r="B230" t="s">
        <v>450</v>
      </c>
      <c r="C230" t="s">
        <v>1426</v>
      </c>
    </row>
    <row r="231" spans="1:3" x14ac:dyDescent="0.45">
      <c r="A231" t="s">
        <v>1801</v>
      </c>
      <c r="B231" t="s">
        <v>1802</v>
      </c>
      <c r="C231" t="s">
        <v>1427</v>
      </c>
    </row>
    <row r="232" spans="1:3" x14ac:dyDescent="0.45">
      <c r="A232" t="s">
        <v>451</v>
      </c>
      <c r="B232" t="s">
        <v>452</v>
      </c>
      <c r="C232" t="s">
        <v>1427</v>
      </c>
    </row>
    <row r="233" spans="1:3" x14ac:dyDescent="0.45">
      <c r="A233" t="s">
        <v>453</v>
      </c>
      <c r="B233" t="s">
        <v>454</v>
      </c>
      <c r="C233" t="s">
        <v>1427</v>
      </c>
    </row>
    <row r="234" spans="1:3" x14ac:dyDescent="0.45">
      <c r="A234" t="s">
        <v>455</v>
      </c>
      <c r="B234" t="s">
        <v>456</v>
      </c>
      <c r="C234" t="s">
        <v>1427</v>
      </c>
    </row>
    <row r="235" spans="1:3" x14ac:dyDescent="0.45">
      <c r="A235" t="s">
        <v>1580</v>
      </c>
      <c r="B235" t="s">
        <v>1581</v>
      </c>
      <c r="C235" t="s">
        <v>1427</v>
      </c>
    </row>
    <row r="236" spans="1:3" x14ac:dyDescent="0.45">
      <c r="A236" t="s">
        <v>457</v>
      </c>
      <c r="B236" t="s">
        <v>458</v>
      </c>
      <c r="C236" t="s">
        <v>1424</v>
      </c>
    </row>
    <row r="237" spans="1:3" x14ac:dyDescent="0.45">
      <c r="A237" t="s">
        <v>459</v>
      </c>
      <c r="B237" t="s">
        <v>460</v>
      </c>
      <c r="C237" t="s">
        <v>1395</v>
      </c>
    </row>
    <row r="238" spans="1:3" x14ac:dyDescent="0.45">
      <c r="A238" t="s">
        <v>461</v>
      </c>
      <c r="B238" t="s">
        <v>462</v>
      </c>
      <c r="C238" t="s">
        <v>1428</v>
      </c>
    </row>
    <row r="239" spans="1:3" x14ac:dyDescent="0.45">
      <c r="A239" t="s">
        <v>463</v>
      </c>
      <c r="B239" t="s">
        <v>464</v>
      </c>
      <c r="C239" t="s">
        <v>1429</v>
      </c>
    </row>
    <row r="240" spans="1:3" x14ac:dyDescent="0.45">
      <c r="A240" t="s">
        <v>465</v>
      </c>
      <c r="B240" t="s">
        <v>466</v>
      </c>
      <c r="C240" t="s">
        <v>1396</v>
      </c>
    </row>
    <row r="241" spans="1:3" x14ac:dyDescent="0.45">
      <c r="A241" t="s">
        <v>467</v>
      </c>
      <c r="B241" t="s">
        <v>468</v>
      </c>
      <c r="C241" t="s">
        <v>1397</v>
      </c>
    </row>
    <row r="242" spans="1:3" x14ac:dyDescent="0.45">
      <c r="A242" t="s">
        <v>469</v>
      </c>
      <c r="B242" t="s">
        <v>470</v>
      </c>
      <c r="C242" t="s">
        <v>1325</v>
      </c>
    </row>
    <row r="243" spans="1:3" x14ac:dyDescent="0.45">
      <c r="A243" t="s">
        <v>471</v>
      </c>
      <c r="B243" t="s">
        <v>472</v>
      </c>
      <c r="C243" t="s">
        <v>1325</v>
      </c>
    </row>
    <row r="244" spans="1:3" x14ac:dyDescent="0.45">
      <c r="A244" t="s">
        <v>473</v>
      </c>
      <c r="B244" t="s">
        <v>474</v>
      </c>
      <c r="C244" t="s">
        <v>1325</v>
      </c>
    </row>
    <row r="245" spans="1:3" x14ac:dyDescent="0.45">
      <c r="A245" t="s">
        <v>475</v>
      </c>
      <c r="B245" t="s">
        <v>476</v>
      </c>
      <c r="C245" t="s">
        <v>1325</v>
      </c>
    </row>
    <row r="246" spans="1:3" x14ac:dyDescent="0.45">
      <c r="A246" t="s">
        <v>477</v>
      </c>
      <c r="B246" t="s">
        <v>478</v>
      </c>
      <c r="C246" t="s">
        <v>1325</v>
      </c>
    </row>
    <row r="247" spans="1:3" x14ac:dyDescent="0.45">
      <c r="A247" t="s">
        <v>479</v>
      </c>
      <c r="B247" t="s">
        <v>480</v>
      </c>
      <c r="C247" t="s">
        <v>1325</v>
      </c>
    </row>
    <row r="248" spans="1:3" x14ac:dyDescent="0.45">
      <c r="A248" t="s">
        <v>481</v>
      </c>
      <c r="B248" t="s">
        <v>482</v>
      </c>
      <c r="C248" t="s">
        <v>1325</v>
      </c>
    </row>
    <row r="249" spans="1:3" x14ac:dyDescent="0.45">
      <c r="A249" t="s">
        <v>483</v>
      </c>
      <c r="B249" t="s">
        <v>484</v>
      </c>
      <c r="C249" t="s">
        <v>1325</v>
      </c>
    </row>
    <row r="250" spans="1:3" x14ac:dyDescent="0.45">
      <c r="A250" t="s">
        <v>485</v>
      </c>
      <c r="B250" t="s">
        <v>486</v>
      </c>
      <c r="C250" t="s">
        <v>1325</v>
      </c>
    </row>
    <row r="251" spans="1:3" x14ac:dyDescent="0.45">
      <c r="A251" t="s">
        <v>487</v>
      </c>
      <c r="B251" t="s">
        <v>488</v>
      </c>
      <c r="C251" t="s">
        <v>1325</v>
      </c>
    </row>
    <row r="252" spans="1:3" x14ac:dyDescent="0.45">
      <c r="A252" t="s">
        <v>489</v>
      </c>
      <c r="B252" t="s">
        <v>490</v>
      </c>
      <c r="C252" t="s">
        <v>1325</v>
      </c>
    </row>
    <row r="253" spans="1:3" x14ac:dyDescent="0.45">
      <c r="A253" t="s">
        <v>491</v>
      </c>
      <c r="B253" t="s">
        <v>492</v>
      </c>
      <c r="C253" t="s">
        <v>1325</v>
      </c>
    </row>
    <row r="254" spans="1:3" x14ac:dyDescent="0.45">
      <c r="A254" t="s">
        <v>493</v>
      </c>
      <c r="B254" t="s">
        <v>494</v>
      </c>
      <c r="C254" t="s">
        <v>1325</v>
      </c>
    </row>
    <row r="255" spans="1:3" x14ac:dyDescent="0.45">
      <c r="A255" t="s">
        <v>495</v>
      </c>
      <c r="B255" t="s">
        <v>496</v>
      </c>
      <c r="C255" t="s">
        <v>1325</v>
      </c>
    </row>
    <row r="256" spans="1:3" x14ac:dyDescent="0.45">
      <c r="A256" t="s">
        <v>497</v>
      </c>
      <c r="B256" t="s">
        <v>498</v>
      </c>
      <c r="C256" t="s">
        <v>1325</v>
      </c>
    </row>
    <row r="257" spans="1:3" x14ac:dyDescent="0.45">
      <c r="A257" t="s">
        <v>499</v>
      </c>
      <c r="B257" t="s">
        <v>500</v>
      </c>
      <c r="C257" t="s">
        <v>1325</v>
      </c>
    </row>
    <row r="258" spans="1:3" x14ac:dyDescent="0.45">
      <c r="A258" t="s">
        <v>501</v>
      </c>
      <c r="B258" t="s">
        <v>502</v>
      </c>
      <c r="C258" t="s">
        <v>1326</v>
      </c>
    </row>
    <row r="259" spans="1:3" x14ac:dyDescent="0.45">
      <c r="A259" t="s">
        <v>503</v>
      </c>
      <c r="B259" t="s">
        <v>504</v>
      </c>
      <c r="C259" t="s">
        <v>1328</v>
      </c>
    </row>
    <row r="260" spans="1:3" x14ac:dyDescent="0.45">
      <c r="A260" t="s">
        <v>505</v>
      </c>
      <c r="B260" t="s">
        <v>506</v>
      </c>
      <c r="C260" t="s">
        <v>1327</v>
      </c>
    </row>
    <row r="261" spans="1:3" x14ac:dyDescent="0.45">
      <c r="A261" t="s">
        <v>507</v>
      </c>
      <c r="B261" t="s">
        <v>508</v>
      </c>
      <c r="C261" t="s">
        <v>1329</v>
      </c>
    </row>
    <row r="262" spans="1:3" x14ac:dyDescent="0.45">
      <c r="A262" t="s">
        <v>509</v>
      </c>
      <c r="B262" t="s">
        <v>510</v>
      </c>
      <c r="C262" t="s">
        <v>1330</v>
      </c>
    </row>
    <row r="263" spans="1:3" x14ac:dyDescent="0.45">
      <c r="A263" t="s">
        <v>511</v>
      </c>
      <c r="B263" t="s">
        <v>512</v>
      </c>
      <c r="C263" t="s">
        <v>1331</v>
      </c>
    </row>
    <row r="264" spans="1:3" x14ac:dyDescent="0.45">
      <c r="A264" t="s">
        <v>513</v>
      </c>
      <c r="B264" t="s">
        <v>514</v>
      </c>
      <c r="C264" t="s">
        <v>1332</v>
      </c>
    </row>
    <row r="265" spans="1:3" x14ac:dyDescent="0.45">
      <c r="A265" t="s">
        <v>515</v>
      </c>
      <c r="B265" t="s">
        <v>516</v>
      </c>
      <c r="C265" t="s">
        <v>1332</v>
      </c>
    </row>
    <row r="266" spans="1:3" x14ac:dyDescent="0.45">
      <c r="A266" t="s">
        <v>517</v>
      </c>
      <c r="B266" t="s">
        <v>518</v>
      </c>
      <c r="C266" t="s">
        <v>1332</v>
      </c>
    </row>
    <row r="267" spans="1:3" x14ac:dyDescent="0.45">
      <c r="A267" t="s">
        <v>519</v>
      </c>
      <c r="B267" t="s">
        <v>520</v>
      </c>
      <c r="C267" t="s">
        <v>1332</v>
      </c>
    </row>
    <row r="268" spans="1:3" x14ac:dyDescent="0.45">
      <c r="A268" t="s">
        <v>521</v>
      </c>
      <c r="B268" t="s">
        <v>522</v>
      </c>
      <c r="C268" t="s">
        <v>1332</v>
      </c>
    </row>
    <row r="269" spans="1:3" x14ac:dyDescent="0.45">
      <c r="A269" t="s">
        <v>523</v>
      </c>
      <c r="B269" t="s">
        <v>524</v>
      </c>
      <c r="C269" t="s">
        <v>1332</v>
      </c>
    </row>
    <row r="270" spans="1:3" x14ac:dyDescent="0.45">
      <c r="A270" t="s">
        <v>525</v>
      </c>
      <c r="B270" t="s">
        <v>526</v>
      </c>
      <c r="C270" t="s">
        <v>1332</v>
      </c>
    </row>
    <row r="271" spans="1:3" x14ac:dyDescent="0.45">
      <c r="A271" t="s">
        <v>527</v>
      </c>
      <c r="B271" t="s">
        <v>528</v>
      </c>
      <c r="C271" t="s">
        <v>1332</v>
      </c>
    </row>
    <row r="272" spans="1:3" x14ac:dyDescent="0.45">
      <c r="A272" t="s">
        <v>529</v>
      </c>
      <c r="B272" t="s">
        <v>530</v>
      </c>
      <c r="C272" t="s">
        <v>1332</v>
      </c>
    </row>
    <row r="273" spans="1:3" x14ac:dyDescent="0.45">
      <c r="A273" t="s">
        <v>531</v>
      </c>
      <c r="B273" t="s">
        <v>532</v>
      </c>
      <c r="C273" t="s">
        <v>1332</v>
      </c>
    </row>
    <row r="274" spans="1:3" x14ac:dyDescent="0.45">
      <c r="A274" t="s">
        <v>533</v>
      </c>
      <c r="B274" t="s">
        <v>534</v>
      </c>
      <c r="C274" t="s">
        <v>1332</v>
      </c>
    </row>
    <row r="275" spans="1:3" x14ac:dyDescent="0.45">
      <c r="A275" t="s">
        <v>535</v>
      </c>
      <c r="B275" t="s">
        <v>536</v>
      </c>
      <c r="C275" t="s">
        <v>1332</v>
      </c>
    </row>
    <row r="276" spans="1:3" x14ac:dyDescent="0.45">
      <c r="A276" t="s">
        <v>537</v>
      </c>
      <c r="B276" t="s">
        <v>538</v>
      </c>
      <c r="C276" t="s">
        <v>1332</v>
      </c>
    </row>
    <row r="277" spans="1:3" x14ac:dyDescent="0.45">
      <c r="A277" t="s">
        <v>539</v>
      </c>
      <c r="B277" t="s">
        <v>540</v>
      </c>
      <c r="C277" t="s">
        <v>1332</v>
      </c>
    </row>
    <row r="278" spans="1:3" x14ac:dyDescent="0.45">
      <c r="A278" t="s">
        <v>541</v>
      </c>
      <c r="B278" t="s">
        <v>542</v>
      </c>
      <c r="C278" t="s">
        <v>1332</v>
      </c>
    </row>
    <row r="279" spans="1:3" x14ac:dyDescent="0.45">
      <c r="A279" t="s">
        <v>543</v>
      </c>
      <c r="B279" t="s">
        <v>544</v>
      </c>
      <c r="C279" t="s">
        <v>1332</v>
      </c>
    </row>
    <row r="280" spans="1:3" x14ac:dyDescent="0.45">
      <c r="A280" t="s">
        <v>545</v>
      </c>
      <c r="B280" t="s">
        <v>546</v>
      </c>
      <c r="C280" t="s">
        <v>1332</v>
      </c>
    </row>
    <row r="281" spans="1:3" x14ac:dyDescent="0.45">
      <c r="A281" t="s">
        <v>547</v>
      </c>
      <c r="B281" t="s">
        <v>548</v>
      </c>
      <c r="C281" t="s">
        <v>1332</v>
      </c>
    </row>
    <row r="282" spans="1:3" x14ac:dyDescent="0.45">
      <c r="A282" t="s">
        <v>549</v>
      </c>
      <c r="B282" t="s">
        <v>550</v>
      </c>
      <c r="C282" t="s">
        <v>1332</v>
      </c>
    </row>
    <row r="283" spans="1:3" x14ac:dyDescent="0.45">
      <c r="A283" t="s">
        <v>551</v>
      </c>
      <c r="B283" t="s">
        <v>552</v>
      </c>
      <c r="C283" t="s">
        <v>1332</v>
      </c>
    </row>
    <row r="284" spans="1:3" x14ac:dyDescent="0.45">
      <c r="A284" t="s">
        <v>553</v>
      </c>
      <c r="B284" t="s">
        <v>554</v>
      </c>
      <c r="C284" t="s">
        <v>1332</v>
      </c>
    </row>
    <row r="285" spans="1:3" x14ac:dyDescent="0.45">
      <c r="A285" t="s">
        <v>555</v>
      </c>
      <c r="B285" t="s">
        <v>556</v>
      </c>
      <c r="C285" t="s">
        <v>1332</v>
      </c>
    </row>
    <row r="286" spans="1:3" x14ac:dyDescent="0.45">
      <c r="A286" t="s">
        <v>557</v>
      </c>
      <c r="B286" t="s">
        <v>558</v>
      </c>
      <c r="C286" t="s">
        <v>1332</v>
      </c>
    </row>
    <row r="287" spans="1:3" x14ac:dyDescent="0.45">
      <c r="A287" t="s">
        <v>559</v>
      </c>
      <c r="B287" t="s">
        <v>560</v>
      </c>
      <c r="C287" t="s">
        <v>1332</v>
      </c>
    </row>
    <row r="288" spans="1:3" x14ac:dyDescent="0.45">
      <c r="A288" t="s">
        <v>561</v>
      </c>
      <c r="B288" t="s">
        <v>562</v>
      </c>
      <c r="C288" t="s">
        <v>1332</v>
      </c>
    </row>
    <row r="289" spans="1:3" x14ac:dyDescent="0.45">
      <c r="A289" t="s">
        <v>563</v>
      </c>
      <c r="B289" t="s">
        <v>564</v>
      </c>
      <c r="C289" t="s">
        <v>1332</v>
      </c>
    </row>
    <row r="290" spans="1:3" x14ac:dyDescent="0.45">
      <c r="A290" t="s">
        <v>565</v>
      </c>
      <c r="B290" t="s">
        <v>566</v>
      </c>
      <c r="C290" t="s">
        <v>1332</v>
      </c>
    </row>
    <row r="291" spans="1:3" x14ac:dyDescent="0.45">
      <c r="A291" t="s">
        <v>567</v>
      </c>
      <c r="B291" t="s">
        <v>568</v>
      </c>
      <c r="C291" t="s">
        <v>1332</v>
      </c>
    </row>
    <row r="292" spans="1:3" x14ac:dyDescent="0.45">
      <c r="A292" t="s">
        <v>569</v>
      </c>
      <c r="B292" t="s">
        <v>570</v>
      </c>
      <c r="C292" t="s">
        <v>1332</v>
      </c>
    </row>
    <row r="293" spans="1:3" x14ac:dyDescent="0.45">
      <c r="A293" t="s">
        <v>571</v>
      </c>
      <c r="B293" t="s">
        <v>572</v>
      </c>
      <c r="C293" t="s">
        <v>1332</v>
      </c>
    </row>
    <row r="294" spans="1:3" x14ac:dyDescent="0.45">
      <c r="A294" t="s">
        <v>573</v>
      </c>
      <c r="B294" t="s">
        <v>574</v>
      </c>
      <c r="C294" t="s">
        <v>1332</v>
      </c>
    </row>
    <row r="295" spans="1:3" x14ac:dyDescent="0.45">
      <c r="A295" t="s">
        <v>575</v>
      </c>
      <c r="B295" t="s">
        <v>576</v>
      </c>
      <c r="C295" t="s">
        <v>1332</v>
      </c>
    </row>
    <row r="296" spans="1:3" x14ac:dyDescent="0.45">
      <c r="A296" t="s">
        <v>577</v>
      </c>
      <c r="B296" t="s">
        <v>578</v>
      </c>
      <c r="C296" t="s">
        <v>1332</v>
      </c>
    </row>
    <row r="297" spans="1:3" x14ac:dyDescent="0.45">
      <c r="A297" t="s">
        <v>579</v>
      </c>
      <c r="B297" t="s">
        <v>580</v>
      </c>
      <c r="C297" t="s">
        <v>1332</v>
      </c>
    </row>
    <row r="298" spans="1:3" x14ac:dyDescent="0.45">
      <c r="A298" t="s">
        <v>581</v>
      </c>
      <c r="B298" t="s">
        <v>582</v>
      </c>
      <c r="C298" t="s">
        <v>1332</v>
      </c>
    </row>
    <row r="299" spans="1:3" x14ac:dyDescent="0.45">
      <c r="A299" t="s">
        <v>583</v>
      </c>
      <c r="B299" t="s">
        <v>584</v>
      </c>
      <c r="C299" t="s">
        <v>1332</v>
      </c>
    </row>
    <row r="300" spans="1:3" x14ac:dyDescent="0.45">
      <c r="A300" t="s">
        <v>585</v>
      </c>
      <c r="B300" t="s">
        <v>586</v>
      </c>
      <c r="C300" t="s">
        <v>1332</v>
      </c>
    </row>
    <row r="301" spans="1:3" x14ac:dyDescent="0.45">
      <c r="A301" t="s">
        <v>587</v>
      </c>
      <c r="B301" t="s">
        <v>588</v>
      </c>
      <c r="C301" t="s">
        <v>1332</v>
      </c>
    </row>
    <row r="302" spans="1:3" x14ac:dyDescent="0.45">
      <c r="A302" t="s">
        <v>589</v>
      </c>
      <c r="B302" t="s">
        <v>590</v>
      </c>
      <c r="C302" t="s">
        <v>1332</v>
      </c>
    </row>
    <row r="303" spans="1:3" x14ac:dyDescent="0.45">
      <c r="A303" t="s">
        <v>591</v>
      </c>
      <c r="B303" t="s">
        <v>592</v>
      </c>
      <c r="C303" t="s">
        <v>1332</v>
      </c>
    </row>
    <row r="304" spans="1:3" x14ac:dyDescent="0.45">
      <c r="A304" t="s">
        <v>593</v>
      </c>
      <c r="B304" t="s">
        <v>594</v>
      </c>
      <c r="C304" t="s">
        <v>1332</v>
      </c>
    </row>
    <row r="305" spans="1:3" x14ac:dyDescent="0.45">
      <c r="A305" t="s">
        <v>595</v>
      </c>
      <c r="B305" t="s">
        <v>596</v>
      </c>
      <c r="C305" t="s">
        <v>1332</v>
      </c>
    </row>
    <row r="306" spans="1:3" x14ac:dyDescent="0.45">
      <c r="A306" t="s">
        <v>597</v>
      </c>
      <c r="B306" t="s">
        <v>598</v>
      </c>
      <c r="C306" t="s">
        <v>1332</v>
      </c>
    </row>
    <row r="307" spans="1:3" x14ac:dyDescent="0.45">
      <c r="A307" t="s">
        <v>599</v>
      </c>
      <c r="B307" t="s">
        <v>600</v>
      </c>
      <c r="C307" t="s">
        <v>1332</v>
      </c>
    </row>
    <row r="308" spans="1:3" x14ac:dyDescent="0.45">
      <c r="A308" t="s">
        <v>601</v>
      </c>
      <c r="B308" t="s">
        <v>602</v>
      </c>
      <c r="C308" t="s">
        <v>1332</v>
      </c>
    </row>
    <row r="309" spans="1:3" x14ac:dyDescent="0.45">
      <c r="A309" t="s">
        <v>603</v>
      </c>
      <c r="B309" t="s">
        <v>604</v>
      </c>
      <c r="C309" t="s">
        <v>1332</v>
      </c>
    </row>
    <row r="310" spans="1:3" x14ac:dyDescent="0.45">
      <c r="A310" t="s">
        <v>605</v>
      </c>
      <c r="B310" t="s">
        <v>606</v>
      </c>
      <c r="C310" t="s">
        <v>1332</v>
      </c>
    </row>
    <row r="311" spans="1:3" x14ac:dyDescent="0.45">
      <c r="A311" t="s">
        <v>607</v>
      </c>
      <c r="B311" t="s">
        <v>608</v>
      </c>
      <c r="C311" t="s">
        <v>1332</v>
      </c>
    </row>
    <row r="312" spans="1:3" x14ac:dyDescent="0.45">
      <c r="A312" t="s">
        <v>609</v>
      </c>
      <c r="B312" t="s">
        <v>610</v>
      </c>
      <c r="C312" t="s">
        <v>1332</v>
      </c>
    </row>
    <row r="313" spans="1:3" x14ac:dyDescent="0.45">
      <c r="A313" t="s">
        <v>611</v>
      </c>
      <c r="B313" t="s">
        <v>612</v>
      </c>
      <c r="C313" t="s">
        <v>1332</v>
      </c>
    </row>
    <row r="314" spans="1:3" x14ac:dyDescent="0.45">
      <c r="A314" t="s">
        <v>613</v>
      </c>
      <c r="B314" t="s">
        <v>614</v>
      </c>
      <c r="C314" t="s">
        <v>1332</v>
      </c>
    </row>
    <row r="315" spans="1:3" x14ac:dyDescent="0.45">
      <c r="A315" t="s">
        <v>615</v>
      </c>
      <c r="B315" t="s">
        <v>616</v>
      </c>
      <c r="C315" t="s">
        <v>1332</v>
      </c>
    </row>
    <row r="316" spans="1:3" x14ac:dyDescent="0.45">
      <c r="A316" t="s">
        <v>617</v>
      </c>
      <c r="B316" t="s">
        <v>618</v>
      </c>
      <c r="C316" t="s">
        <v>1332</v>
      </c>
    </row>
    <row r="317" spans="1:3" x14ac:dyDescent="0.45">
      <c r="A317" t="s">
        <v>619</v>
      </c>
      <c r="B317" t="s">
        <v>620</v>
      </c>
      <c r="C317" t="s">
        <v>1332</v>
      </c>
    </row>
    <row r="318" spans="1:3" x14ac:dyDescent="0.45">
      <c r="A318" t="s">
        <v>621</v>
      </c>
      <c r="B318" t="s">
        <v>622</v>
      </c>
      <c r="C318" t="s">
        <v>1332</v>
      </c>
    </row>
    <row r="319" spans="1:3" x14ac:dyDescent="0.45">
      <c r="A319" t="s">
        <v>623</v>
      </c>
      <c r="B319" t="s">
        <v>624</v>
      </c>
      <c r="C319" t="s">
        <v>1332</v>
      </c>
    </row>
    <row r="320" spans="1:3" x14ac:dyDescent="0.45">
      <c r="A320" t="s">
        <v>625</v>
      </c>
      <c r="B320" t="s">
        <v>626</v>
      </c>
      <c r="C320" t="s">
        <v>1332</v>
      </c>
    </row>
    <row r="321" spans="1:3" x14ac:dyDescent="0.45">
      <c r="A321" t="s">
        <v>627</v>
      </c>
      <c r="B321" t="s">
        <v>628</v>
      </c>
      <c r="C321" t="s">
        <v>1333</v>
      </c>
    </row>
    <row r="322" spans="1:3" x14ac:dyDescent="0.45">
      <c r="A322" t="s">
        <v>629</v>
      </c>
      <c r="B322" t="s">
        <v>630</v>
      </c>
      <c r="C322" t="s">
        <v>1335</v>
      </c>
    </row>
    <row r="323" spans="1:3" x14ac:dyDescent="0.45">
      <c r="A323" t="s">
        <v>631</v>
      </c>
      <c r="B323" t="s">
        <v>632</v>
      </c>
      <c r="C323" t="s">
        <v>1334</v>
      </c>
    </row>
    <row r="324" spans="1:3" x14ac:dyDescent="0.45">
      <c r="A324" t="s">
        <v>633</v>
      </c>
      <c r="B324" t="s">
        <v>634</v>
      </c>
      <c r="C324" t="s">
        <v>1336</v>
      </c>
    </row>
    <row r="325" spans="1:3" x14ac:dyDescent="0.45">
      <c r="A325" t="s">
        <v>635</v>
      </c>
      <c r="B325" t="s">
        <v>636</v>
      </c>
      <c r="C325" t="s">
        <v>1336</v>
      </c>
    </row>
    <row r="326" spans="1:3" x14ac:dyDescent="0.45">
      <c r="A326" t="s">
        <v>637</v>
      </c>
      <c r="B326" t="s">
        <v>638</v>
      </c>
      <c r="C326" t="s">
        <v>1337</v>
      </c>
    </row>
    <row r="327" spans="1:3" x14ac:dyDescent="0.45">
      <c r="A327" t="s">
        <v>639</v>
      </c>
      <c r="B327" t="s">
        <v>640</v>
      </c>
      <c r="C327" t="s">
        <v>1337</v>
      </c>
    </row>
    <row r="328" spans="1:3" x14ac:dyDescent="0.45">
      <c r="A328" t="s">
        <v>641</v>
      </c>
      <c r="B328" t="s">
        <v>642</v>
      </c>
      <c r="C328" t="s">
        <v>1337</v>
      </c>
    </row>
    <row r="329" spans="1:3" x14ac:dyDescent="0.45">
      <c r="A329" t="s">
        <v>643</v>
      </c>
      <c r="B329" t="s">
        <v>644</v>
      </c>
      <c r="C329" t="s">
        <v>1337</v>
      </c>
    </row>
    <row r="330" spans="1:3" x14ac:dyDescent="0.45">
      <c r="A330" t="s">
        <v>645</v>
      </c>
      <c r="B330" t="s">
        <v>646</v>
      </c>
      <c r="C330" t="s">
        <v>1337</v>
      </c>
    </row>
    <row r="331" spans="1:3" x14ac:dyDescent="0.45">
      <c r="A331" t="s">
        <v>647</v>
      </c>
      <c r="B331" t="s">
        <v>648</v>
      </c>
      <c r="C331" t="s">
        <v>1337</v>
      </c>
    </row>
    <row r="332" spans="1:3" x14ac:dyDescent="0.45">
      <c r="A332" t="s">
        <v>649</v>
      </c>
      <c r="B332" t="s">
        <v>650</v>
      </c>
      <c r="C332" t="s">
        <v>1337</v>
      </c>
    </row>
    <row r="333" spans="1:3" x14ac:dyDescent="0.45">
      <c r="A333" t="s">
        <v>651</v>
      </c>
      <c r="B333" t="s">
        <v>652</v>
      </c>
      <c r="C333" t="s">
        <v>1337</v>
      </c>
    </row>
    <row r="334" spans="1:3" x14ac:dyDescent="0.45">
      <c r="A334" t="s">
        <v>653</v>
      </c>
      <c r="B334" t="s">
        <v>654</v>
      </c>
      <c r="C334" t="s">
        <v>1337</v>
      </c>
    </row>
    <row r="335" spans="1:3" x14ac:dyDescent="0.45">
      <c r="A335" t="s">
        <v>655</v>
      </c>
      <c r="B335" t="s">
        <v>656</v>
      </c>
      <c r="C335" t="s">
        <v>1337</v>
      </c>
    </row>
    <row r="336" spans="1:3" x14ac:dyDescent="0.45">
      <c r="A336" t="s">
        <v>657</v>
      </c>
      <c r="B336" t="s">
        <v>658</v>
      </c>
      <c r="C336" t="s">
        <v>1337</v>
      </c>
    </row>
    <row r="337" spans="1:3" x14ac:dyDescent="0.45">
      <c r="A337" t="s">
        <v>659</v>
      </c>
      <c r="B337" t="s">
        <v>660</v>
      </c>
      <c r="C337" t="s">
        <v>1337</v>
      </c>
    </row>
    <row r="338" spans="1:3" x14ac:dyDescent="0.45">
      <c r="A338" t="s">
        <v>661</v>
      </c>
      <c r="B338" t="s">
        <v>662</v>
      </c>
      <c r="C338" t="s">
        <v>1337</v>
      </c>
    </row>
    <row r="339" spans="1:3" x14ac:dyDescent="0.45">
      <c r="A339" t="s">
        <v>663</v>
      </c>
      <c r="B339" t="s">
        <v>664</v>
      </c>
      <c r="C339" t="s">
        <v>1338</v>
      </c>
    </row>
    <row r="340" spans="1:3" x14ac:dyDescent="0.45">
      <c r="A340" t="s">
        <v>665</v>
      </c>
      <c r="B340" t="s">
        <v>666</v>
      </c>
      <c r="C340" t="s">
        <v>1338</v>
      </c>
    </row>
    <row r="341" spans="1:3" x14ac:dyDescent="0.45">
      <c r="A341" t="s">
        <v>667</v>
      </c>
      <c r="B341" t="s">
        <v>668</v>
      </c>
      <c r="C341" t="s">
        <v>1338</v>
      </c>
    </row>
    <row r="342" spans="1:3" x14ac:dyDescent="0.45">
      <c r="A342" t="s">
        <v>669</v>
      </c>
      <c r="B342" t="s">
        <v>670</v>
      </c>
      <c r="C342" t="s">
        <v>1338</v>
      </c>
    </row>
    <row r="343" spans="1:3" x14ac:dyDescent="0.45">
      <c r="A343" t="s">
        <v>671</v>
      </c>
      <c r="B343" t="s">
        <v>672</v>
      </c>
      <c r="C343" t="s">
        <v>1338</v>
      </c>
    </row>
    <row r="344" spans="1:3" x14ac:dyDescent="0.45">
      <c r="A344" t="s">
        <v>673</v>
      </c>
      <c r="B344" t="s">
        <v>674</v>
      </c>
      <c r="C344" t="s">
        <v>1338</v>
      </c>
    </row>
    <row r="345" spans="1:3" x14ac:dyDescent="0.45">
      <c r="A345" t="s">
        <v>675</v>
      </c>
      <c r="B345" t="s">
        <v>676</v>
      </c>
      <c r="C345" t="s">
        <v>1338</v>
      </c>
    </row>
    <row r="346" spans="1:3" x14ac:dyDescent="0.45">
      <c r="A346" t="s">
        <v>677</v>
      </c>
      <c r="B346" t="s">
        <v>678</v>
      </c>
      <c r="C346" t="s">
        <v>1338</v>
      </c>
    </row>
    <row r="347" spans="1:3" x14ac:dyDescent="0.45">
      <c r="A347" t="s">
        <v>679</v>
      </c>
      <c r="B347" t="s">
        <v>680</v>
      </c>
      <c r="C347" t="s">
        <v>1338</v>
      </c>
    </row>
    <row r="348" spans="1:3" x14ac:dyDescent="0.45">
      <c r="A348" t="s">
        <v>681</v>
      </c>
      <c r="B348" t="s">
        <v>682</v>
      </c>
      <c r="C348" t="s">
        <v>1338</v>
      </c>
    </row>
    <row r="349" spans="1:3" x14ac:dyDescent="0.45">
      <c r="A349" t="s">
        <v>683</v>
      </c>
      <c r="B349" t="s">
        <v>684</v>
      </c>
      <c r="C349" t="s">
        <v>1338</v>
      </c>
    </row>
    <row r="350" spans="1:3" x14ac:dyDescent="0.45">
      <c r="A350" t="s">
        <v>685</v>
      </c>
      <c r="B350" t="s">
        <v>686</v>
      </c>
      <c r="C350" t="s">
        <v>1339</v>
      </c>
    </row>
    <row r="351" spans="1:3" x14ac:dyDescent="0.45">
      <c r="A351" t="s">
        <v>687</v>
      </c>
      <c r="B351" t="s">
        <v>688</v>
      </c>
      <c r="C351" t="s">
        <v>1339</v>
      </c>
    </row>
    <row r="352" spans="1:3" x14ac:dyDescent="0.45">
      <c r="A352" t="s">
        <v>689</v>
      </c>
      <c r="B352" t="s">
        <v>690</v>
      </c>
      <c r="C352" t="s">
        <v>1339</v>
      </c>
    </row>
    <row r="353" spans="1:3" x14ac:dyDescent="0.45">
      <c r="A353" t="s">
        <v>691</v>
      </c>
      <c r="B353" t="s">
        <v>692</v>
      </c>
      <c r="C353" t="s">
        <v>1339</v>
      </c>
    </row>
    <row r="354" spans="1:3" x14ac:dyDescent="0.45">
      <c r="A354" t="s">
        <v>693</v>
      </c>
      <c r="B354" t="s">
        <v>694</v>
      </c>
      <c r="C354" t="s">
        <v>1339</v>
      </c>
    </row>
    <row r="355" spans="1:3" x14ac:dyDescent="0.45">
      <c r="A355" t="s">
        <v>695</v>
      </c>
      <c r="B355" t="s">
        <v>696</v>
      </c>
      <c r="C355" t="s">
        <v>1339</v>
      </c>
    </row>
    <row r="356" spans="1:3" x14ac:dyDescent="0.45">
      <c r="A356" t="s">
        <v>697</v>
      </c>
      <c r="B356" t="s">
        <v>698</v>
      </c>
      <c r="C356" t="s">
        <v>1339</v>
      </c>
    </row>
    <row r="357" spans="1:3" x14ac:dyDescent="0.45">
      <c r="A357" t="s">
        <v>699</v>
      </c>
      <c r="B357" t="s">
        <v>700</v>
      </c>
      <c r="C357" t="s">
        <v>1339</v>
      </c>
    </row>
    <row r="358" spans="1:3" x14ac:dyDescent="0.45">
      <c r="A358" t="s">
        <v>701</v>
      </c>
      <c r="B358" t="s">
        <v>702</v>
      </c>
      <c r="C358" t="s">
        <v>1339</v>
      </c>
    </row>
    <row r="359" spans="1:3" x14ac:dyDescent="0.45">
      <c r="A359" t="s">
        <v>703</v>
      </c>
      <c r="B359" t="s">
        <v>704</v>
      </c>
      <c r="C359" t="s">
        <v>1339</v>
      </c>
    </row>
    <row r="360" spans="1:3" x14ac:dyDescent="0.45">
      <c r="A360" t="s">
        <v>705</v>
      </c>
      <c r="B360" t="s">
        <v>706</v>
      </c>
      <c r="C360" t="s">
        <v>1339</v>
      </c>
    </row>
    <row r="361" spans="1:3" x14ac:dyDescent="0.45">
      <c r="A361" t="s">
        <v>707</v>
      </c>
      <c r="B361" t="s">
        <v>708</v>
      </c>
      <c r="C361" t="s">
        <v>1339</v>
      </c>
    </row>
    <row r="362" spans="1:3" x14ac:dyDescent="0.45">
      <c r="A362" t="s">
        <v>709</v>
      </c>
      <c r="B362" t="s">
        <v>710</v>
      </c>
      <c r="C362" t="s">
        <v>1339</v>
      </c>
    </row>
    <row r="363" spans="1:3" x14ac:dyDescent="0.45">
      <c r="A363" t="s">
        <v>1582</v>
      </c>
      <c r="B363" t="s">
        <v>1583</v>
      </c>
      <c r="C363" t="s">
        <v>1339</v>
      </c>
    </row>
    <row r="364" spans="1:3" x14ac:dyDescent="0.45">
      <c r="A364" t="s">
        <v>711</v>
      </c>
      <c r="B364" t="s">
        <v>712</v>
      </c>
      <c r="C364" t="s">
        <v>1340</v>
      </c>
    </row>
    <row r="365" spans="1:3" x14ac:dyDescent="0.45">
      <c r="A365" t="s">
        <v>713</v>
      </c>
      <c r="B365" t="s">
        <v>714</v>
      </c>
      <c r="C365" t="s">
        <v>1341</v>
      </c>
    </row>
    <row r="366" spans="1:3" x14ac:dyDescent="0.45">
      <c r="A366" t="s">
        <v>715</v>
      </c>
      <c r="B366" t="s">
        <v>716</v>
      </c>
      <c r="C366" t="s">
        <v>1342</v>
      </c>
    </row>
    <row r="367" spans="1:3" x14ac:dyDescent="0.45">
      <c r="A367" t="s">
        <v>717</v>
      </c>
      <c r="B367" t="s">
        <v>718</v>
      </c>
      <c r="C367" t="s">
        <v>1343</v>
      </c>
    </row>
    <row r="368" spans="1:3" x14ac:dyDescent="0.45">
      <c r="A368" t="s">
        <v>719</v>
      </c>
      <c r="B368" t="s">
        <v>720</v>
      </c>
      <c r="C368" t="s">
        <v>1343</v>
      </c>
    </row>
    <row r="369" spans="1:3" x14ac:dyDescent="0.45">
      <c r="A369" t="s">
        <v>721</v>
      </c>
      <c r="B369" t="s">
        <v>722</v>
      </c>
      <c r="C369" t="s">
        <v>1343</v>
      </c>
    </row>
    <row r="370" spans="1:3" x14ac:dyDescent="0.45">
      <c r="A370" t="s">
        <v>723</v>
      </c>
      <c r="B370" t="s">
        <v>724</v>
      </c>
      <c r="C370" t="s">
        <v>1343</v>
      </c>
    </row>
    <row r="371" spans="1:3" x14ac:dyDescent="0.45">
      <c r="A371" t="s">
        <v>725</v>
      </c>
      <c r="B371" t="s">
        <v>726</v>
      </c>
      <c r="C371" t="s">
        <v>1343</v>
      </c>
    </row>
    <row r="372" spans="1:3" x14ac:dyDescent="0.45">
      <c r="A372" t="s">
        <v>727</v>
      </c>
      <c r="B372" t="s">
        <v>728</v>
      </c>
      <c r="C372" t="s">
        <v>1343</v>
      </c>
    </row>
    <row r="373" spans="1:3" x14ac:dyDescent="0.45">
      <c r="A373" t="s">
        <v>729</v>
      </c>
      <c r="B373" t="s">
        <v>730</v>
      </c>
      <c r="C373" t="s">
        <v>1343</v>
      </c>
    </row>
    <row r="374" spans="1:3" x14ac:dyDescent="0.45">
      <c r="A374" t="s">
        <v>731</v>
      </c>
      <c r="B374" t="s">
        <v>732</v>
      </c>
      <c r="C374" t="s">
        <v>1343</v>
      </c>
    </row>
    <row r="375" spans="1:3" x14ac:dyDescent="0.45">
      <c r="A375" t="s">
        <v>733</v>
      </c>
      <c r="B375" t="s">
        <v>734</v>
      </c>
      <c r="C375" t="s">
        <v>1343</v>
      </c>
    </row>
    <row r="376" spans="1:3" x14ac:dyDescent="0.45">
      <c r="A376" t="s">
        <v>735</v>
      </c>
      <c r="B376" t="s">
        <v>736</v>
      </c>
      <c r="C376" t="s">
        <v>1343</v>
      </c>
    </row>
    <row r="377" spans="1:3" x14ac:dyDescent="0.45">
      <c r="A377" t="s">
        <v>737</v>
      </c>
      <c r="B377" t="s">
        <v>738</v>
      </c>
      <c r="C377" t="s">
        <v>1343</v>
      </c>
    </row>
    <row r="378" spans="1:3" x14ac:dyDescent="0.45">
      <c r="A378" t="s">
        <v>739</v>
      </c>
      <c r="B378" t="s">
        <v>740</v>
      </c>
      <c r="C378" t="s">
        <v>1343</v>
      </c>
    </row>
    <row r="379" spans="1:3" x14ac:dyDescent="0.45">
      <c r="A379" t="s">
        <v>741</v>
      </c>
      <c r="B379" t="s">
        <v>742</v>
      </c>
      <c r="C379" t="s">
        <v>1343</v>
      </c>
    </row>
    <row r="380" spans="1:3" x14ac:dyDescent="0.45">
      <c r="A380" t="s">
        <v>743</v>
      </c>
      <c r="B380" t="s">
        <v>744</v>
      </c>
      <c r="C380" t="s">
        <v>1343</v>
      </c>
    </row>
    <row r="381" spans="1:3" x14ac:dyDescent="0.45">
      <c r="A381" t="s">
        <v>745</v>
      </c>
      <c r="B381" t="s">
        <v>746</v>
      </c>
      <c r="C381" t="s">
        <v>1343</v>
      </c>
    </row>
    <row r="382" spans="1:3" x14ac:dyDescent="0.45">
      <c r="A382" t="s">
        <v>747</v>
      </c>
      <c r="B382" t="s">
        <v>748</v>
      </c>
      <c r="C382" t="s">
        <v>1344</v>
      </c>
    </row>
    <row r="383" spans="1:3" x14ac:dyDescent="0.45">
      <c r="A383" s="97" t="s">
        <v>1584</v>
      </c>
      <c r="B383" s="97" t="s">
        <v>1585</v>
      </c>
      <c r="C383" t="s">
        <v>1343</v>
      </c>
    </row>
    <row r="384" spans="1:3" x14ac:dyDescent="0.45">
      <c r="A384" s="97" t="s">
        <v>1586</v>
      </c>
      <c r="B384" s="97" t="s">
        <v>1587</v>
      </c>
      <c r="C384" t="s">
        <v>1343</v>
      </c>
    </row>
    <row r="385" spans="1:3" x14ac:dyDescent="0.45">
      <c r="A385" s="97" t="s">
        <v>1588</v>
      </c>
      <c r="B385" s="97" t="s">
        <v>1589</v>
      </c>
      <c r="C385" t="s">
        <v>1343</v>
      </c>
    </row>
    <row r="386" spans="1:3" x14ac:dyDescent="0.45">
      <c r="A386" s="97" t="s">
        <v>1590</v>
      </c>
      <c r="B386" s="97" t="s">
        <v>1591</v>
      </c>
      <c r="C386" t="s">
        <v>1343</v>
      </c>
    </row>
    <row r="387" spans="1:3" x14ac:dyDescent="0.45">
      <c r="A387" s="97" t="s">
        <v>1592</v>
      </c>
      <c r="B387" s="97" t="s">
        <v>1593</v>
      </c>
      <c r="C387" t="s">
        <v>1343</v>
      </c>
    </row>
    <row r="388" spans="1:3" x14ac:dyDescent="0.45">
      <c r="A388" s="97" t="s">
        <v>1594</v>
      </c>
      <c r="B388" s="97" t="s">
        <v>1595</v>
      </c>
      <c r="C388" t="s">
        <v>1343</v>
      </c>
    </row>
    <row r="389" spans="1:3" x14ac:dyDescent="0.45">
      <c r="A389" s="97" t="s">
        <v>1596</v>
      </c>
      <c r="B389" s="97" t="s">
        <v>1597</v>
      </c>
      <c r="C389" t="s">
        <v>1343</v>
      </c>
    </row>
    <row r="390" spans="1:3" x14ac:dyDescent="0.45">
      <c r="A390" s="97" t="s">
        <v>1598</v>
      </c>
      <c r="B390" s="97" t="s">
        <v>1599</v>
      </c>
      <c r="C390" t="s">
        <v>1343</v>
      </c>
    </row>
    <row r="391" spans="1:3" x14ac:dyDescent="0.45">
      <c r="A391" s="97" t="s">
        <v>1600</v>
      </c>
      <c r="B391" s="97" t="s">
        <v>1601</v>
      </c>
      <c r="C391" t="s">
        <v>1343</v>
      </c>
    </row>
    <row r="392" spans="1:3" x14ac:dyDescent="0.45">
      <c r="A392" s="97" t="s">
        <v>1602</v>
      </c>
      <c r="B392" s="97" t="s">
        <v>1603</v>
      </c>
      <c r="C392" t="s">
        <v>1343</v>
      </c>
    </row>
    <row r="393" spans="1:3" x14ac:dyDescent="0.45">
      <c r="A393" s="97" t="s">
        <v>1604</v>
      </c>
      <c r="B393" s="97" t="s">
        <v>1605</v>
      </c>
      <c r="C393" t="s">
        <v>1343</v>
      </c>
    </row>
    <row r="394" spans="1:3" x14ac:dyDescent="0.45">
      <c r="A394" s="97" t="s">
        <v>1606</v>
      </c>
      <c r="B394" s="97" t="s">
        <v>1607</v>
      </c>
      <c r="C394" t="s">
        <v>1343</v>
      </c>
    </row>
    <row r="395" spans="1:3" x14ac:dyDescent="0.45">
      <c r="A395" s="97" t="s">
        <v>1608</v>
      </c>
      <c r="B395" s="97" t="s">
        <v>1609</v>
      </c>
      <c r="C395" t="s">
        <v>1343</v>
      </c>
    </row>
    <row r="396" spans="1:3" x14ac:dyDescent="0.45">
      <c r="A396" s="97" t="s">
        <v>1610</v>
      </c>
      <c r="B396" s="97" t="s">
        <v>1611</v>
      </c>
      <c r="C396" t="s">
        <v>1343</v>
      </c>
    </row>
    <row r="397" spans="1:3" x14ac:dyDescent="0.45">
      <c r="A397" s="97" t="s">
        <v>1612</v>
      </c>
      <c r="B397" s="97" t="s">
        <v>1613</v>
      </c>
      <c r="C397" t="s">
        <v>1343</v>
      </c>
    </row>
    <row r="398" spans="1:3" x14ac:dyDescent="0.45">
      <c r="A398" s="97" t="s">
        <v>1614</v>
      </c>
      <c r="B398" s="97" t="s">
        <v>1615</v>
      </c>
      <c r="C398" t="s">
        <v>1343</v>
      </c>
    </row>
    <row r="399" spans="1:3" x14ac:dyDescent="0.45">
      <c r="A399" t="s">
        <v>749</v>
      </c>
      <c r="B399" t="s">
        <v>750</v>
      </c>
      <c r="C399" t="s">
        <v>1345</v>
      </c>
    </row>
    <row r="400" spans="1:3" x14ac:dyDescent="0.45">
      <c r="A400" t="s">
        <v>751</v>
      </c>
      <c r="B400" t="s">
        <v>752</v>
      </c>
      <c r="C400" t="s">
        <v>1346</v>
      </c>
    </row>
    <row r="401" spans="1:3" x14ac:dyDescent="0.45">
      <c r="A401" t="s">
        <v>753</v>
      </c>
      <c r="B401" t="s">
        <v>754</v>
      </c>
      <c r="C401" t="s">
        <v>1348</v>
      </c>
    </row>
    <row r="402" spans="1:3" x14ac:dyDescent="0.45">
      <c r="A402" t="s">
        <v>755</v>
      </c>
      <c r="B402" t="s">
        <v>756</v>
      </c>
      <c r="C402" t="s">
        <v>1347</v>
      </c>
    </row>
    <row r="403" spans="1:3" x14ac:dyDescent="0.45">
      <c r="A403" t="s">
        <v>1616</v>
      </c>
      <c r="B403" t="s">
        <v>1617</v>
      </c>
      <c r="C403" t="s">
        <v>1347</v>
      </c>
    </row>
    <row r="404" spans="1:3" x14ac:dyDescent="0.45">
      <c r="A404" t="s">
        <v>1618</v>
      </c>
      <c r="B404" t="s">
        <v>1619</v>
      </c>
      <c r="C404" t="s">
        <v>1347</v>
      </c>
    </row>
    <row r="405" spans="1:3" x14ac:dyDescent="0.45">
      <c r="A405" t="s">
        <v>1620</v>
      </c>
      <c r="B405" t="s">
        <v>1621</v>
      </c>
      <c r="C405" t="s">
        <v>1347</v>
      </c>
    </row>
    <row r="406" spans="1:3" x14ac:dyDescent="0.45">
      <c r="A406" t="s">
        <v>1622</v>
      </c>
      <c r="B406" t="s">
        <v>1623</v>
      </c>
      <c r="C406" t="s">
        <v>1347</v>
      </c>
    </row>
    <row r="407" spans="1:3" x14ac:dyDescent="0.45">
      <c r="A407" t="s">
        <v>1624</v>
      </c>
      <c r="B407" t="s">
        <v>1625</v>
      </c>
      <c r="C407" t="s">
        <v>1347</v>
      </c>
    </row>
    <row r="408" spans="1:3" x14ac:dyDescent="0.45">
      <c r="A408" t="s">
        <v>1626</v>
      </c>
      <c r="B408" t="s">
        <v>1627</v>
      </c>
      <c r="C408" t="s">
        <v>1347</v>
      </c>
    </row>
    <row r="409" spans="1:3" x14ac:dyDescent="0.45">
      <c r="A409" t="s">
        <v>1628</v>
      </c>
      <c r="B409" t="s">
        <v>1629</v>
      </c>
      <c r="C409" t="s">
        <v>1347</v>
      </c>
    </row>
    <row r="410" spans="1:3" x14ac:dyDescent="0.45">
      <c r="A410" t="s">
        <v>1630</v>
      </c>
      <c r="B410" t="s">
        <v>1631</v>
      </c>
      <c r="C410" t="s">
        <v>1347</v>
      </c>
    </row>
    <row r="411" spans="1:3" x14ac:dyDescent="0.45">
      <c r="A411" t="s">
        <v>1632</v>
      </c>
      <c r="B411" t="s">
        <v>1633</v>
      </c>
      <c r="C411" t="s">
        <v>1347</v>
      </c>
    </row>
    <row r="412" spans="1:3" x14ac:dyDescent="0.45">
      <c r="A412" t="s">
        <v>1634</v>
      </c>
      <c r="B412" t="s">
        <v>1635</v>
      </c>
      <c r="C412" t="s">
        <v>1347</v>
      </c>
    </row>
    <row r="413" spans="1:3" x14ac:dyDescent="0.45">
      <c r="A413" t="s">
        <v>1636</v>
      </c>
      <c r="B413" t="s">
        <v>1637</v>
      </c>
      <c r="C413" t="s">
        <v>1347</v>
      </c>
    </row>
    <row r="414" spans="1:3" x14ac:dyDescent="0.45">
      <c r="A414" t="s">
        <v>1638</v>
      </c>
      <c r="B414" t="s">
        <v>1639</v>
      </c>
      <c r="C414" t="s">
        <v>1347</v>
      </c>
    </row>
    <row r="415" spans="1:3" x14ac:dyDescent="0.45">
      <c r="A415" t="s">
        <v>1640</v>
      </c>
      <c r="B415" t="s">
        <v>1641</v>
      </c>
      <c r="C415" t="s">
        <v>1347</v>
      </c>
    </row>
    <row r="416" spans="1:3" x14ac:dyDescent="0.45">
      <c r="A416" t="s">
        <v>1642</v>
      </c>
      <c r="B416" t="s">
        <v>1643</v>
      </c>
      <c r="C416" t="s">
        <v>1347</v>
      </c>
    </row>
    <row r="417" spans="1:3" x14ac:dyDescent="0.45">
      <c r="A417" t="s">
        <v>1644</v>
      </c>
      <c r="B417" t="s">
        <v>1645</v>
      </c>
      <c r="C417" t="s">
        <v>1347</v>
      </c>
    </row>
    <row r="418" spans="1:3" x14ac:dyDescent="0.45">
      <c r="A418" t="s">
        <v>1646</v>
      </c>
      <c r="B418" t="s">
        <v>1647</v>
      </c>
      <c r="C418" t="s">
        <v>1347</v>
      </c>
    </row>
    <row r="419" spans="1:3" x14ac:dyDescent="0.45">
      <c r="A419" t="s">
        <v>757</v>
      </c>
      <c r="B419" t="s">
        <v>758</v>
      </c>
      <c r="C419" t="s">
        <v>1349</v>
      </c>
    </row>
    <row r="420" spans="1:3" x14ac:dyDescent="0.45">
      <c r="A420" t="s">
        <v>759</v>
      </c>
      <c r="B420" t="s">
        <v>760</v>
      </c>
      <c r="C420" t="s">
        <v>1350</v>
      </c>
    </row>
    <row r="421" spans="1:3" x14ac:dyDescent="0.45">
      <c r="A421" t="s">
        <v>761</v>
      </c>
      <c r="B421" t="s">
        <v>762</v>
      </c>
      <c r="C421" t="s">
        <v>1351</v>
      </c>
    </row>
    <row r="422" spans="1:3" x14ac:dyDescent="0.45">
      <c r="A422" t="s">
        <v>763</v>
      </c>
      <c r="B422" t="s">
        <v>764</v>
      </c>
      <c r="C422" t="s">
        <v>1352</v>
      </c>
    </row>
    <row r="423" spans="1:3" x14ac:dyDescent="0.45">
      <c r="A423" t="s">
        <v>765</v>
      </c>
      <c r="B423" t="s">
        <v>766</v>
      </c>
      <c r="C423" t="s">
        <v>1353</v>
      </c>
    </row>
    <row r="424" spans="1:3" x14ac:dyDescent="0.45">
      <c r="A424" t="s">
        <v>767</v>
      </c>
      <c r="B424" t="s">
        <v>768</v>
      </c>
      <c r="C424" t="s">
        <v>1354</v>
      </c>
    </row>
    <row r="425" spans="1:3" x14ac:dyDescent="0.45">
      <c r="A425" t="s">
        <v>769</v>
      </c>
      <c r="B425" t="s">
        <v>770</v>
      </c>
      <c r="C425" t="s">
        <v>1355</v>
      </c>
    </row>
    <row r="426" spans="1:3" x14ac:dyDescent="0.45">
      <c r="A426" t="s">
        <v>771</v>
      </c>
      <c r="B426" t="s">
        <v>772</v>
      </c>
      <c r="C426" t="s">
        <v>1355</v>
      </c>
    </row>
    <row r="427" spans="1:3" x14ac:dyDescent="0.45">
      <c r="A427" t="s">
        <v>773</v>
      </c>
      <c r="B427" t="s">
        <v>774</v>
      </c>
      <c r="C427" t="s">
        <v>1355</v>
      </c>
    </row>
    <row r="428" spans="1:3" x14ac:dyDescent="0.45">
      <c r="A428" t="s">
        <v>775</v>
      </c>
      <c r="B428" t="s">
        <v>776</v>
      </c>
      <c r="C428" t="s">
        <v>1355</v>
      </c>
    </row>
    <row r="429" spans="1:3" x14ac:dyDescent="0.45">
      <c r="A429" t="s">
        <v>777</v>
      </c>
      <c r="B429" t="s">
        <v>778</v>
      </c>
      <c r="C429" t="s">
        <v>1355</v>
      </c>
    </row>
    <row r="430" spans="1:3" x14ac:dyDescent="0.45">
      <c r="A430" t="s">
        <v>779</v>
      </c>
      <c r="B430" t="s">
        <v>780</v>
      </c>
      <c r="C430" t="s">
        <v>1355</v>
      </c>
    </row>
    <row r="431" spans="1:3" x14ac:dyDescent="0.45">
      <c r="A431" t="s">
        <v>781</v>
      </c>
      <c r="B431" t="s">
        <v>782</v>
      </c>
      <c r="C431" t="s">
        <v>1355</v>
      </c>
    </row>
    <row r="432" spans="1:3" x14ac:dyDescent="0.45">
      <c r="A432" t="s">
        <v>783</v>
      </c>
      <c r="B432" t="s">
        <v>784</v>
      </c>
      <c r="C432" t="s">
        <v>1355</v>
      </c>
    </row>
    <row r="433" spans="1:3" x14ac:dyDescent="0.45">
      <c r="A433" t="s">
        <v>785</v>
      </c>
      <c r="B433" t="s">
        <v>786</v>
      </c>
      <c r="C433" t="s">
        <v>1355</v>
      </c>
    </row>
    <row r="434" spans="1:3" x14ac:dyDescent="0.45">
      <c r="A434" t="s">
        <v>787</v>
      </c>
      <c r="B434" t="s">
        <v>788</v>
      </c>
      <c r="C434" t="s">
        <v>1355</v>
      </c>
    </row>
    <row r="435" spans="1:3" x14ac:dyDescent="0.45">
      <c r="A435" t="s">
        <v>789</v>
      </c>
      <c r="B435" t="s">
        <v>790</v>
      </c>
      <c r="C435" t="s">
        <v>1355</v>
      </c>
    </row>
    <row r="436" spans="1:3" x14ac:dyDescent="0.45">
      <c r="A436" t="s">
        <v>791</v>
      </c>
      <c r="B436" t="s">
        <v>792</v>
      </c>
      <c r="C436" t="s">
        <v>1355</v>
      </c>
    </row>
    <row r="437" spans="1:3" x14ac:dyDescent="0.45">
      <c r="A437" t="s">
        <v>793</v>
      </c>
      <c r="B437" t="s">
        <v>794</v>
      </c>
      <c r="C437" t="s">
        <v>1355</v>
      </c>
    </row>
    <row r="438" spans="1:3" x14ac:dyDescent="0.45">
      <c r="A438" t="s">
        <v>795</v>
      </c>
      <c r="B438" t="s">
        <v>796</v>
      </c>
      <c r="C438" t="s">
        <v>1356</v>
      </c>
    </row>
    <row r="439" spans="1:3" x14ac:dyDescent="0.45">
      <c r="A439" t="s">
        <v>797</v>
      </c>
      <c r="B439" t="s">
        <v>798</v>
      </c>
      <c r="C439" t="s">
        <v>1356</v>
      </c>
    </row>
    <row r="440" spans="1:3" x14ac:dyDescent="0.45">
      <c r="A440" t="s">
        <v>799</v>
      </c>
      <c r="B440" t="s">
        <v>800</v>
      </c>
      <c r="C440" t="s">
        <v>1356</v>
      </c>
    </row>
    <row r="441" spans="1:3" x14ac:dyDescent="0.45">
      <c r="A441" t="s">
        <v>801</v>
      </c>
      <c r="B441" t="s">
        <v>802</v>
      </c>
      <c r="C441" t="s">
        <v>1356</v>
      </c>
    </row>
    <row r="442" spans="1:3" x14ac:dyDescent="0.45">
      <c r="A442" t="s">
        <v>803</v>
      </c>
      <c r="B442" t="s">
        <v>804</v>
      </c>
      <c r="C442" t="s">
        <v>1356</v>
      </c>
    </row>
    <row r="443" spans="1:3" x14ac:dyDescent="0.45">
      <c r="A443" t="s">
        <v>805</v>
      </c>
      <c r="B443" t="s">
        <v>806</v>
      </c>
      <c r="C443" t="s">
        <v>1356</v>
      </c>
    </row>
    <row r="444" spans="1:3" x14ac:dyDescent="0.45">
      <c r="A444" t="s">
        <v>807</v>
      </c>
      <c r="B444" t="s">
        <v>808</v>
      </c>
      <c r="C444" t="s">
        <v>1356</v>
      </c>
    </row>
    <row r="445" spans="1:3" x14ac:dyDescent="0.45">
      <c r="A445" t="s">
        <v>809</v>
      </c>
      <c r="B445" t="s">
        <v>810</v>
      </c>
      <c r="C445" t="s">
        <v>1356</v>
      </c>
    </row>
    <row r="446" spans="1:3" x14ac:dyDescent="0.45">
      <c r="A446" t="s">
        <v>811</v>
      </c>
      <c r="B446" t="s">
        <v>812</v>
      </c>
      <c r="C446" t="s">
        <v>1357</v>
      </c>
    </row>
    <row r="447" spans="1:3" x14ac:dyDescent="0.45">
      <c r="A447" t="s">
        <v>813</v>
      </c>
      <c r="B447" t="s">
        <v>814</v>
      </c>
      <c r="C447" t="s">
        <v>1357</v>
      </c>
    </row>
    <row r="448" spans="1:3" x14ac:dyDescent="0.45">
      <c r="A448" t="s">
        <v>815</v>
      </c>
      <c r="B448" t="s">
        <v>816</v>
      </c>
      <c r="C448" t="s">
        <v>1357</v>
      </c>
    </row>
    <row r="449" spans="1:3" x14ac:dyDescent="0.45">
      <c r="A449" t="s">
        <v>817</v>
      </c>
      <c r="B449" t="s">
        <v>818</v>
      </c>
      <c r="C449" t="s">
        <v>1357</v>
      </c>
    </row>
    <row r="450" spans="1:3" x14ac:dyDescent="0.45">
      <c r="A450" t="s">
        <v>819</v>
      </c>
      <c r="B450" t="s">
        <v>820</v>
      </c>
      <c r="C450" t="s">
        <v>1357</v>
      </c>
    </row>
    <row r="451" spans="1:3" x14ac:dyDescent="0.45">
      <c r="A451" t="s">
        <v>821</v>
      </c>
      <c r="B451" t="s">
        <v>822</v>
      </c>
      <c r="C451" t="s">
        <v>1357</v>
      </c>
    </row>
    <row r="452" spans="1:3" x14ac:dyDescent="0.45">
      <c r="A452" t="s">
        <v>823</v>
      </c>
      <c r="B452" t="s">
        <v>824</v>
      </c>
      <c r="C452" t="s">
        <v>1357</v>
      </c>
    </row>
    <row r="453" spans="1:3" x14ac:dyDescent="0.45">
      <c r="A453" t="s">
        <v>825</v>
      </c>
      <c r="B453" t="s">
        <v>826</v>
      </c>
      <c r="C453" t="s">
        <v>1357</v>
      </c>
    </row>
    <row r="454" spans="1:3" x14ac:dyDescent="0.45">
      <c r="A454" t="s">
        <v>827</v>
      </c>
      <c r="B454" t="s">
        <v>828</v>
      </c>
      <c r="C454" t="s">
        <v>1357</v>
      </c>
    </row>
    <row r="455" spans="1:3" x14ac:dyDescent="0.45">
      <c r="A455" t="s">
        <v>829</v>
      </c>
      <c r="B455" t="s">
        <v>830</v>
      </c>
      <c r="C455" t="s">
        <v>1357</v>
      </c>
    </row>
    <row r="456" spans="1:3" x14ac:dyDescent="0.45">
      <c r="A456" t="s">
        <v>831</v>
      </c>
      <c r="B456" t="s">
        <v>832</v>
      </c>
      <c r="C456" t="s">
        <v>1357</v>
      </c>
    </row>
    <row r="457" spans="1:3" x14ac:dyDescent="0.45">
      <c r="A457" t="s">
        <v>833</v>
      </c>
      <c r="B457" t="s">
        <v>834</v>
      </c>
      <c r="C457" t="s">
        <v>1357</v>
      </c>
    </row>
    <row r="458" spans="1:3" x14ac:dyDescent="0.45">
      <c r="A458" t="s">
        <v>835</v>
      </c>
      <c r="B458" t="s">
        <v>836</v>
      </c>
      <c r="C458" t="s">
        <v>1357</v>
      </c>
    </row>
    <row r="459" spans="1:3" x14ac:dyDescent="0.45">
      <c r="A459" t="s">
        <v>837</v>
      </c>
      <c r="B459" t="s">
        <v>838</v>
      </c>
      <c r="C459" t="s">
        <v>1357</v>
      </c>
    </row>
    <row r="460" spans="1:3" x14ac:dyDescent="0.45">
      <c r="A460" t="s">
        <v>839</v>
      </c>
      <c r="B460" t="s">
        <v>840</v>
      </c>
      <c r="C460" t="s">
        <v>1358</v>
      </c>
    </row>
    <row r="461" spans="1:3" x14ac:dyDescent="0.45">
      <c r="A461" t="s">
        <v>841</v>
      </c>
      <c r="B461" t="s">
        <v>842</v>
      </c>
      <c r="C461" t="s">
        <v>1359</v>
      </c>
    </row>
    <row r="462" spans="1:3" x14ac:dyDescent="0.45">
      <c r="A462" t="s">
        <v>843</v>
      </c>
      <c r="B462" t="s">
        <v>844</v>
      </c>
      <c r="C462" t="s">
        <v>1360</v>
      </c>
    </row>
    <row r="463" spans="1:3" x14ac:dyDescent="0.45">
      <c r="A463" t="s">
        <v>845</v>
      </c>
      <c r="B463" t="s">
        <v>846</v>
      </c>
      <c r="C463" t="s">
        <v>1361</v>
      </c>
    </row>
    <row r="464" spans="1:3" x14ac:dyDescent="0.45">
      <c r="A464" t="s">
        <v>847</v>
      </c>
      <c r="B464" t="s">
        <v>848</v>
      </c>
      <c r="C464" t="s">
        <v>1361</v>
      </c>
    </row>
    <row r="465" spans="1:3" x14ac:dyDescent="0.45">
      <c r="A465" t="s">
        <v>849</v>
      </c>
      <c r="B465" t="s">
        <v>850</v>
      </c>
      <c r="C465" t="s">
        <v>1361</v>
      </c>
    </row>
    <row r="466" spans="1:3" x14ac:dyDescent="0.45">
      <c r="A466" t="s">
        <v>851</v>
      </c>
      <c r="B466" t="s">
        <v>852</v>
      </c>
      <c r="C466" t="s">
        <v>1361</v>
      </c>
    </row>
    <row r="467" spans="1:3" x14ac:dyDescent="0.45">
      <c r="A467" t="s">
        <v>853</v>
      </c>
      <c r="B467" t="s">
        <v>854</v>
      </c>
      <c r="C467" t="s">
        <v>1361</v>
      </c>
    </row>
    <row r="468" spans="1:3" x14ac:dyDescent="0.45">
      <c r="A468" t="s">
        <v>855</v>
      </c>
      <c r="B468" t="s">
        <v>856</v>
      </c>
      <c r="C468" t="s">
        <v>1361</v>
      </c>
    </row>
    <row r="469" spans="1:3" x14ac:dyDescent="0.45">
      <c r="A469" t="s">
        <v>857</v>
      </c>
      <c r="B469" t="s">
        <v>858</v>
      </c>
      <c r="C469" t="s">
        <v>1361</v>
      </c>
    </row>
    <row r="470" spans="1:3" x14ac:dyDescent="0.45">
      <c r="A470" t="s">
        <v>859</v>
      </c>
      <c r="B470" t="s">
        <v>860</v>
      </c>
      <c r="C470" t="s">
        <v>1361</v>
      </c>
    </row>
    <row r="471" spans="1:3" x14ac:dyDescent="0.45">
      <c r="A471" t="s">
        <v>861</v>
      </c>
      <c r="B471" t="s">
        <v>862</v>
      </c>
      <c r="C471" t="s">
        <v>1361</v>
      </c>
    </row>
    <row r="472" spans="1:3" x14ac:dyDescent="0.45">
      <c r="A472" t="s">
        <v>863</v>
      </c>
      <c r="B472" t="s">
        <v>864</v>
      </c>
      <c r="C472" t="s">
        <v>1361</v>
      </c>
    </row>
    <row r="473" spans="1:3" x14ac:dyDescent="0.45">
      <c r="A473" t="s">
        <v>865</v>
      </c>
      <c r="B473" t="s">
        <v>866</v>
      </c>
      <c r="C473" t="s">
        <v>1361</v>
      </c>
    </row>
    <row r="474" spans="1:3" x14ac:dyDescent="0.45">
      <c r="A474" t="s">
        <v>867</v>
      </c>
      <c r="B474" t="s">
        <v>868</v>
      </c>
      <c r="C474" t="s">
        <v>1361</v>
      </c>
    </row>
    <row r="475" spans="1:3" x14ac:dyDescent="0.45">
      <c r="A475" t="s">
        <v>869</v>
      </c>
      <c r="B475" t="s">
        <v>870</v>
      </c>
      <c r="C475" t="s">
        <v>1362</v>
      </c>
    </row>
    <row r="476" spans="1:3" x14ac:dyDescent="0.45">
      <c r="A476" t="s">
        <v>871</v>
      </c>
      <c r="B476" t="s">
        <v>872</v>
      </c>
      <c r="C476" t="s">
        <v>1363</v>
      </c>
    </row>
    <row r="477" spans="1:3" x14ac:dyDescent="0.45">
      <c r="A477" t="s">
        <v>873</v>
      </c>
      <c r="B477" t="s">
        <v>874</v>
      </c>
      <c r="C477" t="s">
        <v>1363</v>
      </c>
    </row>
    <row r="478" spans="1:3" x14ac:dyDescent="0.45">
      <c r="A478" t="s">
        <v>875</v>
      </c>
      <c r="B478" t="s">
        <v>876</v>
      </c>
      <c r="C478" t="s">
        <v>1363</v>
      </c>
    </row>
    <row r="479" spans="1:3" x14ac:dyDescent="0.45">
      <c r="A479" t="s">
        <v>877</v>
      </c>
      <c r="B479" t="s">
        <v>878</v>
      </c>
      <c r="C479" t="s">
        <v>1363</v>
      </c>
    </row>
    <row r="480" spans="1:3" x14ac:dyDescent="0.45">
      <c r="A480" t="s">
        <v>879</v>
      </c>
      <c r="B480" t="s">
        <v>880</v>
      </c>
      <c r="C480" t="s">
        <v>1363</v>
      </c>
    </row>
    <row r="481" spans="1:3" x14ac:dyDescent="0.45">
      <c r="A481" t="s">
        <v>881</v>
      </c>
      <c r="B481" t="s">
        <v>882</v>
      </c>
      <c r="C481" t="s">
        <v>1363</v>
      </c>
    </row>
    <row r="482" spans="1:3" x14ac:dyDescent="0.45">
      <c r="A482" t="s">
        <v>883</v>
      </c>
      <c r="B482" t="s">
        <v>884</v>
      </c>
      <c r="C482" t="s">
        <v>1363</v>
      </c>
    </row>
    <row r="483" spans="1:3" x14ac:dyDescent="0.45">
      <c r="A483" t="s">
        <v>885</v>
      </c>
      <c r="B483" t="s">
        <v>886</v>
      </c>
      <c r="C483" t="s">
        <v>1363</v>
      </c>
    </row>
    <row r="484" spans="1:3" x14ac:dyDescent="0.45">
      <c r="A484" t="s">
        <v>887</v>
      </c>
      <c r="B484" t="s">
        <v>888</v>
      </c>
      <c r="C484" t="s">
        <v>1363</v>
      </c>
    </row>
    <row r="485" spans="1:3" x14ac:dyDescent="0.45">
      <c r="A485" t="s">
        <v>889</v>
      </c>
      <c r="B485" t="s">
        <v>890</v>
      </c>
      <c r="C485" t="s">
        <v>1363</v>
      </c>
    </row>
    <row r="486" spans="1:3" x14ac:dyDescent="0.45">
      <c r="A486" t="s">
        <v>891</v>
      </c>
      <c r="B486" t="s">
        <v>892</v>
      </c>
      <c r="C486" t="s">
        <v>1363</v>
      </c>
    </row>
    <row r="487" spans="1:3" x14ac:dyDescent="0.45">
      <c r="A487" t="s">
        <v>893</v>
      </c>
      <c r="B487" t="s">
        <v>894</v>
      </c>
      <c r="C487" t="s">
        <v>1364</v>
      </c>
    </row>
    <row r="488" spans="1:3" x14ac:dyDescent="0.45">
      <c r="A488" t="s">
        <v>895</v>
      </c>
      <c r="B488" t="s">
        <v>896</v>
      </c>
      <c r="C488" t="s">
        <v>1364</v>
      </c>
    </row>
    <row r="489" spans="1:3" x14ac:dyDescent="0.45">
      <c r="A489" t="s">
        <v>897</v>
      </c>
      <c r="B489" t="s">
        <v>898</v>
      </c>
      <c r="C489" t="s">
        <v>1364</v>
      </c>
    </row>
    <row r="490" spans="1:3" x14ac:dyDescent="0.45">
      <c r="A490" t="s">
        <v>899</v>
      </c>
      <c r="B490" t="s">
        <v>900</v>
      </c>
      <c r="C490" t="s">
        <v>1364</v>
      </c>
    </row>
    <row r="491" spans="1:3" x14ac:dyDescent="0.45">
      <c r="A491" t="s">
        <v>901</v>
      </c>
      <c r="B491" t="s">
        <v>902</v>
      </c>
      <c r="C491" t="s">
        <v>1364</v>
      </c>
    </row>
    <row r="492" spans="1:3" x14ac:dyDescent="0.45">
      <c r="A492" t="s">
        <v>903</v>
      </c>
      <c r="B492" t="s">
        <v>904</v>
      </c>
      <c r="C492" t="s">
        <v>1364</v>
      </c>
    </row>
    <row r="493" spans="1:3" x14ac:dyDescent="0.45">
      <c r="A493" t="s">
        <v>905</v>
      </c>
      <c r="B493" t="s">
        <v>906</v>
      </c>
      <c r="C493" t="s">
        <v>1364</v>
      </c>
    </row>
    <row r="494" spans="1:3" x14ac:dyDescent="0.45">
      <c r="A494" t="s">
        <v>907</v>
      </c>
      <c r="B494" t="s">
        <v>908</v>
      </c>
      <c r="C494" t="s">
        <v>1364</v>
      </c>
    </row>
    <row r="495" spans="1:3" x14ac:dyDescent="0.45">
      <c r="A495" t="s">
        <v>909</v>
      </c>
      <c r="B495" t="s">
        <v>910</v>
      </c>
      <c r="C495" t="s">
        <v>1364</v>
      </c>
    </row>
    <row r="496" spans="1:3" x14ac:dyDescent="0.45">
      <c r="A496" t="s">
        <v>911</v>
      </c>
      <c r="B496" t="s">
        <v>912</v>
      </c>
      <c r="C496" t="s">
        <v>1364</v>
      </c>
    </row>
    <row r="497" spans="1:3" x14ac:dyDescent="0.45">
      <c r="A497" t="s">
        <v>913</v>
      </c>
      <c r="B497" t="s">
        <v>914</v>
      </c>
      <c r="C497" t="s">
        <v>1364</v>
      </c>
    </row>
    <row r="498" spans="1:3" x14ac:dyDescent="0.45">
      <c r="A498" t="s">
        <v>915</v>
      </c>
      <c r="B498" t="s">
        <v>916</v>
      </c>
      <c r="C498" t="s">
        <v>1364</v>
      </c>
    </row>
    <row r="499" spans="1:3" x14ac:dyDescent="0.45">
      <c r="A499" t="s">
        <v>917</v>
      </c>
      <c r="B499" t="s">
        <v>918</v>
      </c>
      <c r="C499" t="s">
        <v>1364</v>
      </c>
    </row>
    <row r="500" spans="1:3" x14ac:dyDescent="0.45">
      <c r="A500" t="s">
        <v>919</v>
      </c>
      <c r="B500" t="s">
        <v>920</v>
      </c>
      <c r="C500" t="s">
        <v>1364</v>
      </c>
    </row>
    <row r="501" spans="1:3" x14ac:dyDescent="0.45">
      <c r="A501" t="s">
        <v>921</v>
      </c>
      <c r="B501" t="s">
        <v>922</v>
      </c>
      <c r="C501" t="s">
        <v>1364</v>
      </c>
    </row>
    <row r="502" spans="1:3" x14ac:dyDescent="0.45">
      <c r="A502" t="s">
        <v>923</v>
      </c>
      <c r="B502" t="s">
        <v>924</v>
      </c>
      <c r="C502" t="s">
        <v>1365</v>
      </c>
    </row>
    <row r="503" spans="1:3" x14ac:dyDescent="0.45">
      <c r="A503" t="s">
        <v>925</v>
      </c>
      <c r="B503" t="s">
        <v>926</v>
      </c>
      <c r="C503" t="s">
        <v>1365</v>
      </c>
    </row>
    <row r="504" spans="1:3" x14ac:dyDescent="0.45">
      <c r="A504" t="s">
        <v>927</v>
      </c>
      <c r="B504" t="s">
        <v>928</v>
      </c>
      <c r="C504" t="s">
        <v>1365</v>
      </c>
    </row>
    <row r="505" spans="1:3" x14ac:dyDescent="0.45">
      <c r="A505" t="s">
        <v>929</v>
      </c>
      <c r="B505" t="s">
        <v>930</v>
      </c>
      <c r="C505" t="s">
        <v>1365</v>
      </c>
    </row>
    <row r="506" spans="1:3" x14ac:dyDescent="0.45">
      <c r="A506" t="s">
        <v>931</v>
      </c>
      <c r="B506" t="s">
        <v>932</v>
      </c>
      <c r="C506" t="s">
        <v>1365</v>
      </c>
    </row>
    <row r="507" spans="1:3" x14ac:dyDescent="0.45">
      <c r="A507" t="s">
        <v>933</v>
      </c>
      <c r="B507" t="s">
        <v>934</v>
      </c>
      <c r="C507" t="s">
        <v>1365</v>
      </c>
    </row>
    <row r="508" spans="1:3" x14ac:dyDescent="0.45">
      <c r="A508" t="s">
        <v>935</v>
      </c>
      <c r="B508" t="s">
        <v>936</v>
      </c>
      <c r="C508" t="s">
        <v>1365</v>
      </c>
    </row>
    <row r="509" spans="1:3" x14ac:dyDescent="0.45">
      <c r="A509" t="s">
        <v>937</v>
      </c>
      <c r="B509" t="s">
        <v>938</v>
      </c>
      <c r="C509" t="s">
        <v>1365</v>
      </c>
    </row>
    <row r="510" spans="1:3" x14ac:dyDescent="0.45">
      <c r="A510" t="s">
        <v>939</v>
      </c>
      <c r="B510" t="s">
        <v>940</v>
      </c>
      <c r="C510" t="s">
        <v>1365</v>
      </c>
    </row>
    <row r="511" spans="1:3" x14ac:dyDescent="0.45">
      <c r="A511" t="s">
        <v>941</v>
      </c>
      <c r="B511" t="s">
        <v>942</v>
      </c>
      <c r="C511" t="s">
        <v>1365</v>
      </c>
    </row>
    <row r="512" spans="1:3" x14ac:dyDescent="0.45">
      <c r="A512" t="s">
        <v>943</v>
      </c>
      <c r="B512" t="s">
        <v>944</v>
      </c>
      <c r="C512" t="s">
        <v>1365</v>
      </c>
    </row>
    <row r="513" spans="1:3" x14ac:dyDescent="0.45">
      <c r="A513" t="s">
        <v>945</v>
      </c>
      <c r="B513" t="s">
        <v>946</v>
      </c>
      <c r="C513" t="s">
        <v>1365</v>
      </c>
    </row>
    <row r="514" spans="1:3" x14ac:dyDescent="0.45">
      <c r="A514" t="s">
        <v>947</v>
      </c>
      <c r="B514" t="s">
        <v>948</v>
      </c>
      <c r="C514" t="s">
        <v>1365</v>
      </c>
    </row>
    <row r="515" spans="1:3" x14ac:dyDescent="0.45">
      <c r="A515" t="s">
        <v>949</v>
      </c>
      <c r="B515" t="s">
        <v>950</v>
      </c>
      <c r="C515" t="s">
        <v>1365</v>
      </c>
    </row>
    <row r="516" spans="1:3" x14ac:dyDescent="0.45">
      <c r="A516" t="s">
        <v>951</v>
      </c>
      <c r="B516" t="s">
        <v>952</v>
      </c>
      <c r="C516" t="s">
        <v>1365</v>
      </c>
    </row>
    <row r="517" spans="1:3" x14ac:dyDescent="0.45">
      <c r="A517" t="s">
        <v>953</v>
      </c>
      <c r="B517" t="s">
        <v>954</v>
      </c>
      <c r="C517" t="s">
        <v>1366</v>
      </c>
    </row>
    <row r="518" spans="1:3" x14ac:dyDescent="0.45">
      <c r="A518" t="s">
        <v>955</v>
      </c>
      <c r="B518" t="s">
        <v>956</v>
      </c>
      <c r="C518" t="s">
        <v>1367</v>
      </c>
    </row>
    <row r="519" spans="1:3" x14ac:dyDescent="0.45">
      <c r="A519" t="s">
        <v>957</v>
      </c>
      <c r="B519" t="s">
        <v>958</v>
      </c>
      <c r="C519" t="s">
        <v>1368</v>
      </c>
    </row>
    <row r="520" spans="1:3" x14ac:dyDescent="0.45">
      <c r="A520" t="s">
        <v>959</v>
      </c>
      <c r="B520" t="s">
        <v>960</v>
      </c>
      <c r="C520" t="s">
        <v>1369</v>
      </c>
    </row>
    <row r="521" spans="1:3" x14ac:dyDescent="0.45">
      <c r="A521" t="s">
        <v>961</v>
      </c>
      <c r="B521" t="s">
        <v>962</v>
      </c>
      <c r="C521" t="s">
        <v>1370</v>
      </c>
    </row>
    <row r="522" spans="1:3" x14ac:dyDescent="0.45">
      <c r="A522" t="s">
        <v>963</v>
      </c>
      <c r="B522" t="s">
        <v>964</v>
      </c>
      <c r="C522" t="s">
        <v>1370</v>
      </c>
    </row>
    <row r="523" spans="1:3" x14ac:dyDescent="0.45">
      <c r="A523" t="s">
        <v>965</v>
      </c>
      <c r="B523" t="s">
        <v>966</v>
      </c>
      <c r="C523" t="s">
        <v>1370</v>
      </c>
    </row>
    <row r="524" spans="1:3" x14ac:dyDescent="0.45">
      <c r="A524" t="s">
        <v>967</v>
      </c>
      <c r="B524" t="s">
        <v>968</v>
      </c>
      <c r="C524" t="s">
        <v>1370</v>
      </c>
    </row>
    <row r="525" spans="1:3" x14ac:dyDescent="0.45">
      <c r="A525" t="s">
        <v>969</v>
      </c>
      <c r="B525" t="s">
        <v>970</v>
      </c>
      <c r="C525" t="s">
        <v>1370</v>
      </c>
    </row>
    <row r="526" spans="1:3" x14ac:dyDescent="0.45">
      <c r="A526" t="s">
        <v>971</v>
      </c>
      <c r="B526" t="s">
        <v>972</v>
      </c>
      <c r="C526" t="s">
        <v>1370</v>
      </c>
    </row>
    <row r="527" spans="1:3" ht="14" customHeight="1" x14ac:dyDescent="0.45">
      <c r="A527" t="s">
        <v>973</v>
      </c>
      <c r="B527" t="s">
        <v>974</v>
      </c>
      <c r="C527" t="s">
        <v>1370</v>
      </c>
    </row>
    <row r="528" spans="1:3" x14ac:dyDescent="0.45">
      <c r="A528" t="s">
        <v>975</v>
      </c>
      <c r="B528" t="s">
        <v>976</v>
      </c>
      <c r="C528" t="s">
        <v>1370</v>
      </c>
    </row>
    <row r="529" spans="1:3" x14ac:dyDescent="0.45">
      <c r="A529" t="s">
        <v>977</v>
      </c>
      <c r="B529" t="s">
        <v>978</v>
      </c>
      <c r="C529" t="s">
        <v>1370</v>
      </c>
    </row>
    <row r="530" spans="1:3" x14ac:dyDescent="0.45">
      <c r="A530" t="s">
        <v>979</v>
      </c>
      <c r="B530" t="s">
        <v>980</v>
      </c>
      <c r="C530" t="s">
        <v>1370</v>
      </c>
    </row>
    <row r="531" spans="1:3" x14ac:dyDescent="0.45">
      <c r="A531" t="s">
        <v>981</v>
      </c>
      <c r="B531" t="s">
        <v>982</v>
      </c>
      <c r="C531" t="s">
        <v>1370</v>
      </c>
    </row>
    <row r="532" spans="1:3" x14ac:dyDescent="0.45">
      <c r="A532" t="s">
        <v>983</v>
      </c>
      <c r="B532" t="s">
        <v>984</v>
      </c>
      <c r="C532" t="s">
        <v>1370</v>
      </c>
    </row>
    <row r="533" spans="1:3" x14ac:dyDescent="0.45">
      <c r="A533" t="s">
        <v>1648</v>
      </c>
      <c r="B533" t="s">
        <v>1649</v>
      </c>
      <c r="C533" t="s">
        <v>1370</v>
      </c>
    </row>
    <row r="534" spans="1:3" x14ac:dyDescent="0.45">
      <c r="A534" t="s">
        <v>985</v>
      </c>
      <c r="B534" t="s">
        <v>986</v>
      </c>
      <c r="C534" t="s">
        <v>1371</v>
      </c>
    </row>
    <row r="535" spans="1:3" x14ac:dyDescent="0.45">
      <c r="A535" t="s">
        <v>987</v>
      </c>
      <c r="B535" t="s">
        <v>988</v>
      </c>
      <c r="C535" t="s">
        <v>1372</v>
      </c>
    </row>
    <row r="536" spans="1:3" x14ac:dyDescent="0.45">
      <c r="A536" t="s">
        <v>989</v>
      </c>
      <c r="B536" t="s">
        <v>990</v>
      </c>
      <c r="C536" t="s">
        <v>1373</v>
      </c>
    </row>
    <row r="537" spans="1:3" x14ac:dyDescent="0.45">
      <c r="A537" t="s">
        <v>991</v>
      </c>
      <c r="B537" t="s">
        <v>992</v>
      </c>
      <c r="C537" t="s">
        <v>1374</v>
      </c>
    </row>
    <row r="538" spans="1:3" x14ac:dyDescent="0.45">
      <c r="A538" t="s">
        <v>993</v>
      </c>
      <c r="B538" t="s">
        <v>994</v>
      </c>
      <c r="C538" t="s">
        <v>1375</v>
      </c>
    </row>
    <row r="539" spans="1:3" x14ac:dyDescent="0.45">
      <c r="A539" t="s">
        <v>995</v>
      </c>
      <c r="B539" t="s">
        <v>996</v>
      </c>
      <c r="C539" t="s">
        <v>1375</v>
      </c>
    </row>
    <row r="540" spans="1:3" x14ac:dyDescent="0.45">
      <c r="A540" t="s">
        <v>997</v>
      </c>
      <c r="B540" t="s">
        <v>998</v>
      </c>
      <c r="C540" t="s">
        <v>1375</v>
      </c>
    </row>
    <row r="541" spans="1:3" x14ac:dyDescent="0.45">
      <c r="A541" t="s">
        <v>999</v>
      </c>
      <c r="B541" t="s">
        <v>1000</v>
      </c>
      <c r="C541" t="s">
        <v>1375</v>
      </c>
    </row>
    <row r="542" spans="1:3" x14ac:dyDescent="0.45">
      <c r="A542" t="s">
        <v>1001</v>
      </c>
      <c r="B542" t="s">
        <v>1002</v>
      </c>
      <c r="C542" t="s">
        <v>1375</v>
      </c>
    </row>
    <row r="543" spans="1:3" x14ac:dyDescent="0.45">
      <c r="A543" t="s">
        <v>1003</v>
      </c>
      <c r="B543" t="s">
        <v>1004</v>
      </c>
      <c r="C543" t="s">
        <v>1375</v>
      </c>
    </row>
    <row r="544" spans="1:3" x14ac:dyDescent="0.45">
      <c r="A544" t="s">
        <v>1005</v>
      </c>
      <c r="B544" t="s">
        <v>1006</v>
      </c>
      <c r="C544" t="s">
        <v>1375</v>
      </c>
    </row>
    <row r="545" spans="1:3" x14ac:dyDescent="0.45">
      <c r="A545" t="s">
        <v>1007</v>
      </c>
      <c r="B545" t="s">
        <v>1008</v>
      </c>
      <c r="C545" t="s">
        <v>1375</v>
      </c>
    </row>
    <row r="546" spans="1:3" x14ac:dyDescent="0.45">
      <c r="A546" t="s">
        <v>1009</v>
      </c>
      <c r="B546" t="s">
        <v>1010</v>
      </c>
      <c r="C546" t="s">
        <v>1375</v>
      </c>
    </row>
    <row r="547" spans="1:3" x14ac:dyDescent="0.45">
      <c r="A547" t="s">
        <v>1011</v>
      </c>
      <c r="B547" t="s">
        <v>1012</v>
      </c>
      <c r="C547" t="s">
        <v>1375</v>
      </c>
    </row>
    <row r="548" spans="1:3" x14ac:dyDescent="0.45">
      <c r="A548" t="s">
        <v>1013</v>
      </c>
      <c r="B548" t="s">
        <v>1014</v>
      </c>
      <c r="C548" t="s">
        <v>1375</v>
      </c>
    </row>
    <row r="549" spans="1:3" x14ac:dyDescent="0.45">
      <c r="A549" t="s">
        <v>1015</v>
      </c>
      <c r="B549" t="s">
        <v>1016</v>
      </c>
      <c r="C549" t="s">
        <v>1375</v>
      </c>
    </row>
    <row r="550" spans="1:3" x14ac:dyDescent="0.45">
      <c r="A550" t="s">
        <v>1017</v>
      </c>
      <c r="B550" t="s">
        <v>1018</v>
      </c>
      <c r="C550" t="s">
        <v>1375</v>
      </c>
    </row>
    <row r="551" spans="1:3" x14ac:dyDescent="0.45">
      <c r="A551" t="s">
        <v>1019</v>
      </c>
      <c r="B551" t="s">
        <v>1020</v>
      </c>
      <c r="C551" t="s">
        <v>1375</v>
      </c>
    </row>
    <row r="552" spans="1:3" x14ac:dyDescent="0.45">
      <c r="A552" t="s">
        <v>1021</v>
      </c>
      <c r="B552" t="s">
        <v>1022</v>
      </c>
      <c r="C552" t="s">
        <v>1375</v>
      </c>
    </row>
    <row r="553" spans="1:3" x14ac:dyDescent="0.45">
      <c r="A553" t="s">
        <v>1023</v>
      </c>
      <c r="B553" t="s">
        <v>1024</v>
      </c>
      <c r="C553" t="s">
        <v>1376</v>
      </c>
    </row>
    <row r="554" spans="1:3" x14ac:dyDescent="0.45">
      <c r="A554" t="s">
        <v>1025</v>
      </c>
      <c r="B554" t="s">
        <v>1026</v>
      </c>
      <c r="C554" t="s">
        <v>1376</v>
      </c>
    </row>
    <row r="555" spans="1:3" x14ac:dyDescent="0.45">
      <c r="A555" t="s">
        <v>1027</v>
      </c>
      <c r="B555" t="s">
        <v>1028</v>
      </c>
      <c r="C555" t="s">
        <v>1376</v>
      </c>
    </row>
    <row r="556" spans="1:3" x14ac:dyDescent="0.45">
      <c r="A556" t="s">
        <v>1650</v>
      </c>
      <c r="B556" t="s">
        <v>1651</v>
      </c>
      <c r="C556" t="s">
        <v>1376</v>
      </c>
    </row>
    <row r="557" spans="1:3" x14ac:dyDescent="0.45">
      <c r="A557" t="s">
        <v>1029</v>
      </c>
      <c r="B557" t="s">
        <v>1030</v>
      </c>
      <c r="C557" t="s">
        <v>1376</v>
      </c>
    </row>
    <row r="558" spans="1:3" x14ac:dyDescent="0.45">
      <c r="A558" t="s">
        <v>1031</v>
      </c>
      <c r="B558" t="s">
        <v>1032</v>
      </c>
      <c r="C558" t="s">
        <v>1376</v>
      </c>
    </row>
    <row r="559" spans="1:3" x14ac:dyDescent="0.45">
      <c r="A559" t="s">
        <v>1033</v>
      </c>
      <c r="B559" t="s">
        <v>1034</v>
      </c>
      <c r="C559" t="s">
        <v>1376</v>
      </c>
    </row>
    <row r="560" spans="1:3" x14ac:dyDescent="0.45">
      <c r="A560" t="s">
        <v>1035</v>
      </c>
      <c r="B560" t="s">
        <v>1036</v>
      </c>
      <c r="C560" t="s">
        <v>1376</v>
      </c>
    </row>
    <row r="561" spans="1:3" x14ac:dyDescent="0.45">
      <c r="A561" t="s">
        <v>1037</v>
      </c>
      <c r="B561" t="s">
        <v>1038</v>
      </c>
      <c r="C561" t="s">
        <v>1376</v>
      </c>
    </row>
    <row r="562" spans="1:3" x14ac:dyDescent="0.45">
      <c r="A562" t="s">
        <v>1039</v>
      </c>
      <c r="B562" t="s">
        <v>1040</v>
      </c>
      <c r="C562" t="s">
        <v>1376</v>
      </c>
    </row>
    <row r="563" spans="1:3" x14ac:dyDescent="0.45">
      <c r="A563" t="s">
        <v>1041</v>
      </c>
      <c r="B563" t="s">
        <v>1042</v>
      </c>
      <c r="C563" t="s">
        <v>1376</v>
      </c>
    </row>
    <row r="564" spans="1:3" x14ac:dyDescent="0.45">
      <c r="A564" t="s">
        <v>1043</v>
      </c>
      <c r="B564" t="s">
        <v>1044</v>
      </c>
      <c r="C564" t="s">
        <v>1376</v>
      </c>
    </row>
    <row r="565" spans="1:3" x14ac:dyDescent="0.45">
      <c r="A565" t="s">
        <v>1045</v>
      </c>
      <c r="B565" t="s">
        <v>1046</v>
      </c>
      <c r="C565" t="s">
        <v>1376</v>
      </c>
    </row>
    <row r="566" spans="1:3" x14ac:dyDescent="0.45">
      <c r="A566" t="s">
        <v>1047</v>
      </c>
      <c r="B566" t="s">
        <v>1048</v>
      </c>
      <c r="C566" t="s">
        <v>1376</v>
      </c>
    </row>
    <row r="567" spans="1:3" x14ac:dyDescent="0.45">
      <c r="A567" t="s">
        <v>1049</v>
      </c>
      <c r="B567" t="s">
        <v>1050</v>
      </c>
      <c r="C567" t="s">
        <v>1376</v>
      </c>
    </row>
    <row r="568" spans="1:3" x14ac:dyDescent="0.45">
      <c r="A568" t="s">
        <v>1051</v>
      </c>
      <c r="B568" t="s">
        <v>1052</v>
      </c>
      <c r="C568" t="s">
        <v>1377</v>
      </c>
    </row>
    <row r="569" spans="1:3" x14ac:dyDescent="0.45">
      <c r="A569" t="s">
        <v>1053</v>
      </c>
      <c r="B569" t="s">
        <v>1054</v>
      </c>
      <c r="C569" t="s">
        <v>1378</v>
      </c>
    </row>
    <row r="570" spans="1:3" x14ac:dyDescent="0.45">
      <c r="A570" t="s">
        <v>1055</v>
      </c>
      <c r="B570" t="s">
        <v>1056</v>
      </c>
      <c r="C570" t="s">
        <v>1379</v>
      </c>
    </row>
    <row r="571" spans="1:3" x14ac:dyDescent="0.45">
      <c r="A571" t="s">
        <v>1057</v>
      </c>
      <c r="B571" t="s">
        <v>1058</v>
      </c>
      <c r="C571" t="s">
        <v>1380</v>
      </c>
    </row>
    <row r="572" spans="1:3" x14ac:dyDescent="0.45">
      <c r="A572" t="s">
        <v>1652</v>
      </c>
      <c r="B572" t="s">
        <v>1653</v>
      </c>
      <c r="C572" t="s">
        <v>1654</v>
      </c>
    </row>
    <row r="573" spans="1:3" x14ac:dyDescent="0.45">
      <c r="A573" t="s">
        <v>1059</v>
      </c>
      <c r="B573" t="s">
        <v>1060</v>
      </c>
      <c r="C573" t="s">
        <v>1381</v>
      </c>
    </row>
    <row r="574" spans="1:3" x14ac:dyDescent="0.45">
      <c r="A574" t="s">
        <v>1061</v>
      </c>
      <c r="B574" t="s">
        <v>1062</v>
      </c>
      <c r="C574" t="s">
        <v>1381</v>
      </c>
    </row>
    <row r="575" spans="1:3" x14ac:dyDescent="0.45">
      <c r="A575" t="s">
        <v>1063</v>
      </c>
      <c r="B575" t="s">
        <v>1064</v>
      </c>
      <c r="C575" t="s">
        <v>1382</v>
      </c>
    </row>
    <row r="576" spans="1:3" x14ac:dyDescent="0.45">
      <c r="A576" t="s">
        <v>1065</v>
      </c>
      <c r="B576" t="s">
        <v>1066</v>
      </c>
      <c r="C576" t="s">
        <v>1383</v>
      </c>
    </row>
    <row r="577" spans="1:3" x14ac:dyDescent="0.45">
      <c r="A577" t="s">
        <v>1067</v>
      </c>
      <c r="B577" t="s">
        <v>1068</v>
      </c>
      <c r="C577" t="s">
        <v>1383</v>
      </c>
    </row>
    <row r="578" spans="1:3" x14ac:dyDescent="0.45">
      <c r="A578" t="s">
        <v>1069</v>
      </c>
      <c r="B578" t="s">
        <v>1070</v>
      </c>
      <c r="C578" t="s">
        <v>1383</v>
      </c>
    </row>
    <row r="579" spans="1:3" x14ac:dyDescent="0.45">
      <c r="A579" t="s">
        <v>1071</v>
      </c>
      <c r="B579" t="s">
        <v>1072</v>
      </c>
      <c r="C579" t="s">
        <v>1383</v>
      </c>
    </row>
    <row r="580" spans="1:3" x14ac:dyDescent="0.45">
      <c r="A580" t="s">
        <v>1073</v>
      </c>
      <c r="B580" t="s">
        <v>1074</v>
      </c>
      <c r="C580" t="s">
        <v>1383</v>
      </c>
    </row>
    <row r="581" spans="1:3" x14ac:dyDescent="0.45">
      <c r="A581" t="s">
        <v>1075</v>
      </c>
      <c r="B581" t="s">
        <v>1076</v>
      </c>
      <c r="C581" t="s">
        <v>1383</v>
      </c>
    </row>
    <row r="582" spans="1:3" x14ac:dyDescent="0.45">
      <c r="A582" t="s">
        <v>1077</v>
      </c>
      <c r="B582" t="s">
        <v>1078</v>
      </c>
      <c r="C582" t="s">
        <v>1383</v>
      </c>
    </row>
    <row r="583" spans="1:3" x14ac:dyDescent="0.45">
      <c r="A583" t="s">
        <v>1079</v>
      </c>
      <c r="B583" t="s">
        <v>1080</v>
      </c>
      <c r="C583" t="s">
        <v>1383</v>
      </c>
    </row>
    <row r="584" spans="1:3" x14ac:dyDescent="0.45">
      <c r="A584" t="s">
        <v>1081</v>
      </c>
      <c r="B584" t="s">
        <v>1082</v>
      </c>
      <c r="C584" t="s">
        <v>1383</v>
      </c>
    </row>
    <row r="585" spans="1:3" x14ac:dyDescent="0.45">
      <c r="A585" t="s">
        <v>1083</v>
      </c>
      <c r="B585" t="s">
        <v>1084</v>
      </c>
      <c r="C585" t="s">
        <v>1383</v>
      </c>
    </row>
    <row r="586" spans="1:3" x14ac:dyDescent="0.45">
      <c r="A586" t="s">
        <v>1085</v>
      </c>
      <c r="B586" t="s">
        <v>1086</v>
      </c>
      <c r="C586" t="s">
        <v>1383</v>
      </c>
    </row>
    <row r="587" spans="1:3" x14ac:dyDescent="0.45">
      <c r="A587" t="s">
        <v>1087</v>
      </c>
      <c r="B587" t="s">
        <v>1088</v>
      </c>
      <c r="C587" t="s">
        <v>1383</v>
      </c>
    </row>
    <row r="588" spans="1:3" x14ac:dyDescent="0.45">
      <c r="A588" t="s">
        <v>1710</v>
      </c>
      <c r="B588" t="s">
        <v>1711</v>
      </c>
      <c r="C588" t="s">
        <v>1712</v>
      </c>
    </row>
  </sheetData>
  <sheetProtection algorithmName="SHA-512" hashValue="kw/UzG0BGp86wWw1viPbLmuJdgu8Ec5vfOQ8MCajKCtz6x0TmHs5Wt4b76xQURNkmQY/51CXUvGASdfBGhXlkw==" saltValue="o5T6a9P0jK3b7O8jDixh+Q==" spinCount="100000" sheet="1" objects="1" scenarios="1" selectLockedCells="1" selectUnlockedCells="1"/>
  <pageMargins left="0.7" right="0.7" top="0.75" bottom="0.75" header="0.3" footer="0.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A28C5-A885-4211-8BF0-2457F7D86357}">
  <dimension ref="A1:AE90"/>
  <sheetViews>
    <sheetView topLeftCell="N82" workbookViewId="0">
      <selection activeCell="C18" sqref="C18"/>
    </sheetView>
  </sheetViews>
  <sheetFormatPr defaultRowHeight="14.25" x14ac:dyDescent="0.45"/>
  <cols>
    <col min="1" max="1" width="40.796875" bestFit="1" customWidth="1"/>
    <col min="3" max="4" width="11" bestFit="1" customWidth="1"/>
    <col min="5" max="5" width="10" bestFit="1" customWidth="1"/>
    <col min="6" max="6" width="11" bestFit="1" customWidth="1"/>
    <col min="7" max="7" width="10" bestFit="1" customWidth="1"/>
    <col min="8" max="8" width="9.19921875" customWidth="1"/>
    <col min="9" max="12" width="11" bestFit="1" customWidth="1"/>
    <col min="13" max="16" width="10" bestFit="1" customWidth="1"/>
    <col min="18" max="18" width="11.265625" bestFit="1" customWidth="1"/>
    <col min="19" max="19" width="12.46484375" bestFit="1" customWidth="1"/>
    <col min="21" max="21" width="13.265625" bestFit="1" customWidth="1"/>
    <col min="22" max="22" width="10.53125" style="26" bestFit="1" customWidth="1"/>
    <col min="23" max="23" width="3.46484375" customWidth="1"/>
    <col min="24" max="24" width="11.53125" bestFit="1" customWidth="1"/>
    <col min="25" max="25" width="10.06640625" bestFit="1" customWidth="1"/>
  </cols>
  <sheetData>
    <row r="1" spans="1:31" x14ac:dyDescent="0.45">
      <c r="A1" s="25"/>
      <c r="B1" s="25"/>
      <c r="C1" s="221">
        <v>44501</v>
      </c>
      <c r="D1" s="222"/>
      <c r="E1" s="222"/>
      <c r="F1" s="222"/>
      <c r="G1" s="222"/>
      <c r="H1" s="222"/>
      <c r="I1" s="222"/>
      <c r="J1" s="222"/>
      <c r="K1" s="222"/>
      <c r="L1" s="222"/>
      <c r="M1" s="222"/>
      <c r="N1" s="222"/>
      <c r="O1" s="222"/>
      <c r="P1" s="222"/>
      <c r="Q1" s="222"/>
      <c r="R1" s="222"/>
      <c r="S1" s="223"/>
      <c r="X1" s="20">
        <f>SUM(S3-U3)</f>
        <v>60857.469999999972</v>
      </c>
      <c r="Y1" s="20">
        <f>X1-R3</f>
        <v>35234.229999999974</v>
      </c>
    </row>
    <row r="2" spans="1:31" x14ac:dyDescent="0.45">
      <c r="A2" s="25"/>
      <c r="B2" s="25"/>
      <c r="C2" s="27" t="s">
        <v>1436</v>
      </c>
      <c r="D2" s="27" t="s">
        <v>1437</v>
      </c>
      <c r="E2" s="27" t="s">
        <v>1438</v>
      </c>
      <c r="F2" s="27" t="s">
        <v>1439</v>
      </c>
      <c r="G2" s="27" t="s">
        <v>1440</v>
      </c>
      <c r="H2" s="27" t="s">
        <v>1441</v>
      </c>
      <c r="I2" s="27" t="s">
        <v>1442</v>
      </c>
      <c r="J2" s="27" t="s">
        <v>1443</v>
      </c>
      <c r="K2" s="27" t="s">
        <v>1444</v>
      </c>
      <c r="L2" s="27" t="s">
        <v>1445</v>
      </c>
      <c r="M2" s="27" t="s">
        <v>1446</v>
      </c>
      <c r="N2" s="27" t="s">
        <v>1447</v>
      </c>
      <c r="O2" s="27" t="s">
        <v>1448</v>
      </c>
      <c r="P2" s="27" t="s">
        <v>1449</v>
      </c>
      <c r="Q2" s="27" t="s">
        <v>1450</v>
      </c>
      <c r="R2" s="28" t="s">
        <v>1451</v>
      </c>
      <c r="S2" s="27" t="s">
        <v>1452</v>
      </c>
      <c r="U2" s="29" t="s">
        <v>1452</v>
      </c>
      <c r="X2" s="20">
        <f>U9-S9</f>
        <v>104.7899999999936</v>
      </c>
    </row>
    <row r="3" spans="1:31" x14ac:dyDescent="0.45">
      <c r="A3" s="25" t="s">
        <v>1453</v>
      </c>
      <c r="B3" s="25"/>
      <c r="C3" s="30">
        <v>129789.67</v>
      </c>
      <c r="D3" s="30">
        <v>172556.51</v>
      </c>
      <c r="E3" s="30">
        <v>15469.49</v>
      </c>
      <c r="F3" s="30">
        <v>195669.34</v>
      </c>
      <c r="G3" s="30">
        <v>70480.039999999994</v>
      </c>
      <c r="H3" s="30">
        <v>0</v>
      </c>
      <c r="I3" s="30">
        <v>128305.77</v>
      </c>
      <c r="J3" s="30">
        <v>114840.87</v>
      </c>
      <c r="K3" s="30">
        <v>176392.52</v>
      </c>
      <c r="L3" s="30">
        <v>244490.71</v>
      </c>
      <c r="M3" s="30">
        <v>89204.14</v>
      </c>
      <c r="N3" s="30">
        <v>87462.98</v>
      </c>
      <c r="O3" s="30">
        <v>21574.09</v>
      </c>
      <c r="P3" s="30">
        <v>53385.72</v>
      </c>
      <c r="Q3" s="30">
        <v>0</v>
      </c>
      <c r="R3" s="31">
        <f>13237.44+12385.8</f>
        <v>25623.239999999998</v>
      </c>
      <c r="S3" s="30">
        <f>SUM(C3:R3)</f>
        <v>1525245.09</v>
      </c>
      <c r="U3" s="19">
        <v>1464387.62</v>
      </c>
      <c r="V3" s="26">
        <f>(S3-U3)/U3</f>
        <v>4.1558306809504418E-2</v>
      </c>
      <c r="X3" s="224" t="s">
        <v>1454</v>
      </c>
      <c r="Y3" s="224"/>
      <c r="Z3" s="224"/>
      <c r="AA3" s="224"/>
      <c r="AB3" s="224"/>
      <c r="AC3" s="224"/>
      <c r="AD3" s="224"/>
      <c r="AE3" s="224"/>
    </row>
    <row r="4" spans="1:31" x14ac:dyDescent="0.45">
      <c r="A4" s="32" t="s">
        <v>1455</v>
      </c>
      <c r="B4" s="32"/>
      <c r="C4" s="30">
        <v>7308.6</v>
      </c>
      <c r="D4" s="30">
        <v>18731.59</v>
      </c>
      <c r="E4" s="30">
        <v>952.71</v>
      </c>
      <c r="F4" s="30">
        <v>52441.85</v>
      </c>
      <c r="G4" s="30">
        <v>7302.9</v>
      </c>
      <c r="H4" s="30">
        <v>0</v>
      </c>
      <c r="I4" s="30">
        <v>30970.31</v>
      </c>
      <c r="J4" s="30">
        <v>29784.36</v>
      </c>
      <c r="K4" s="30">
        <v>38385.99</v>
      </c>
      <c r="L4" s="30">
        <v>17747.47</v>
      </c>
      <c r="M4" s="30">
        <v>18319.98</v>
      </c>
      <c r="N4" s="30">
        <v>0</v>
      </c>
      <c r="O4" s="30">
        <v>8972.27</v>
      </c>
      <c r="P4" s="30">
        <v>0</v>
      </c>
      <c r="Q4" s="31">
        <v>0</v>
      </c>
      <c r="R4" s="31">
        <v>0</v>
      </c>
      <c r="S4" s="30">
        <f>SUM(C4:R4)</f>
        <v>230918.03</v>
      </c>
      <c r="U4" s="19">
        <v>167180.4</v>
      </c>
      <c r="V4" s="26">
        <f t="shared" ref="V4:V68" si="0">(S4-U4)/U4</f>
        <v>0.38125061311014929</v>
      </c>
      <c r="X4" s="224"/>
      <c r="Y4" s="224"/>
      <c r="Z4" s="224"/>
      <c r="AA4" s="224"/>
      <c r="AB4" s="224"/>
      <c r="AC4" s="224"/>
      <c r="AD4" s="224"/>
      <c r="AE4" s="224"/>
    </row>
    <row r="5" spans="1:31" x14ac:dyDescent="0.45">
      <c r="A5" s="25" t="s">
        <v>1456</v>
      </c>
      <c r="B5" s="25"/>
      <c r="C5" s="33">
        <f>+C3/($S$8-$R$8-$Q$8-$P$8-$O$8)</f>
        <v>0.84388475881993164</v>
      </c>
      <c r="D5" s="33">
        <f t="shared" ref="D5:N5" si="1">+D3/($S$8-$R$8-$Q$8-$P$8-$O$8)</f>
        <v>1.1219522233484309</v>
      </c>
      <c r="E5" s="33">
        <f t="shared" si="1"/>
        <v>0.10058170914308777</v>
      </c>
      <c r="F5" s="33">
        <f t="shared" si="1"/>
        <v>1.2722304771585844</v>
      </c>
      <c r="G5" s="33">
        <f t="shared" si="1"/>
        <v>0.45825705202131362</v>
      </c>
      <c r="H5" s="33">
        <f t="shared" si="1"/>
        <v>0</v>
      </c>
      <c r="I5" s="33">
        <f t="shared" si="1"/>
        <v>0.83423652877502208</v>
      </c>
      <c r="J5" s="33">
        <f t="shared" si="1"/>
        <v>0.74668854526420414</v>
      </c>
      <c r="K5" s="33">
        <f t="shared" si="1"/>
        <v>1.1468937335139227</v>
      </c>
      <c r="L5" s="33">
        <f t="shared" si="1"/>
        <v>1.5896641376934224</v>
      </c>
      <c r="M5" s="33">
        <f t="shared" si="1"/>
        <v>0.58000004291280971</v>
      </c>
      <c r="N5" s="33">
        <f t="shared" si="1"/>
        <v>0.56867912356177885</v>
      </c>
      <c r="O5" s="33"/>
      <c r="P5" s="30"/>
      <c r="Q5" s="34"/>
      <c r="R5" s="34"/>
      <c r="S5" s="30"/>
      <c r="U5" s="9"/>
    </row>
    <row r="6" spans="1:31" x14ac:dyDescent="0.45">
      <c r="A6" s="35"/>
      <c r="B6" s="35"/>
    </row>
    <row r="7" spans="1:31" x14ac:dyDescent="0.45">
      <c r="A7" s="36" t="s">
        <v>1457</v>
      </c>
      <c r="B7" s="36"/>
      <c r="U7" s="37"/>
      <c r="X7" s="225" t="s">
        <v>1458</v>
      </c>
      <c r="Y7" s="225"/>
      <c r="Z7" s="225"/>
      <c r="AA7" s="225"/>
      <c r="AB7" s="225"/>
      <c r="AC7" s="225"/>
      <c r="AD7" s="225"/>
      <c r="AE7" s="225"/>
    </row>
    <row r="8" spans="1:31" ht="15" customHeight="1" x14ac:dyDescent="0.45">
      <c r="A8" s="38" t="s">
        <v>1459</v>
      </c>
      <c r="B8" s="38"/>
      <c r="C8" s="39">
        <f>38167.44-20000</f>
        <v>18167.440000000002</v>
      </c>
      <c r="D8" s="39">
        <v>11123.8</v>
      </c>
      <c r="E8" s="39">
        <v>322.79000000000002</v>
      </c>
      <c r="F8" s="39">
        <v>19897.03</v>
      </c>
      <c r="G8" s="39">
        <v>3177.12</v>
      </c>
      <c r="H8" s="39">
        <v>0</v>
      </c>
      <c r="I8" s="39">
        <v>12380.44</v>
      </c>
      <c r="J8" s="39">
        <v>11629.73</v>
      </c>
      <c r="K8" s="39">
        <v>18087.79</v>
      </c>
      <c r="L8" s="39">
        <v>33516.83</v>
      </c>
      <c r="M8" s="39">
        <v>10936.76</v>
      </c>
      <c r="N8" s="39">
        <v>14560.5</v>
      </c>
      <c r="O8" s="39">
        <f>10718.89-6500</f>
        <v>4218.8899999999994</v>
      </c>
      <c r="P8" s="39">
        <v>12447.32</v>
      </c>
      <c r="Q8" s="39">
        <v>0</v>
      </c>
      <c r="R8" s="39">
        <f>91511.4+20000+6500</f>
        <v>118011.4</v>
      </c>
      <c r="S8" s="40">
        <f>SUM(C8:R8)</f>
        <v>288477.83999999997</v>
      </c>
      <c r="U8" s="41">
        <v>227246.7</v>
      </c>
      <c r="V8" s="26">
        <f t="shared" si="0"/>
        <v>0.26944787317043528</v>
      </c>
      <c r="X8" s="225"/>
      <c r="Y8" s="225"/>
      <c r="Z8" s="225"/>
      <c r="AA8" s="225"/>
      <c r="AB8" s="225"/>
      <c r="AC8" s="225"/>
      <c r="AD8" s="225"/>
      <c r="AE8" s="225"/>
    </row>
    <row r="9" spans="1:31" x14ac:dyDescent="0.45">
      <c r="A9" s="38" t="s">
        <v>1460</v>
      </c>
      <c r="B9" s="38"/>
      <c r="C9" s="39">
        <v>4636.32</v>
      </c>
      <c r="D9" s="39">
        <v>4180.5600000000004</v>
      </c>
      <c r="E9" s="39">
        <v>673.8</v>
      </c>
      <c r="F9" s="39">
        <v>2618.83</v>
      </c>
      <c r="G9" s="39">
        <v>0</v>
      </c>
      <c r="H9" s="39">
        <v>0</v>
      </c>
      <c r="I9" s="39">
        <v>3179.13</v>
      </c>
      <c r="J9" s="39">
        <v>2200.13</v>
      </c>
      <c r="K9" s="39">
        <v>2520.79</v>
      </c>
      <c r="L9" s="39">
        <v>5264.52</v>
      </c>
      <c r="M9" s="39">
        <v>2183.9299999999998</v>
      </c>
      <c r="N9" s="39">
        <v>3680.51</v>
      </c>
      <c r="O9" s="39">
        <v>0</v>
      </c>
      <c r="P9" s="39">
        <v>0</v>
      </c>
      <c r="Q9" s="39">
        <v>0</v>
      </c>
      <c r="R9" s="39">
        <v>0</v>
      </c>
      <c r="S9" s="40">
        <f t="shared" ref="S9:S13" si="2">SUM(C9:R9)</f>
        <v>31138.520000000004</v>
      </c>
      <c r="U9" s="41">
        <v>31243.309999999998</v>
      </c>
      <c r="V9" s="26">
        <f t="shared" si="0"/>
        <v>-3.3539980238967513E-3</v>
      </c>
      <c r="X9" s="225"/>
      <c r="Y9" s="225"/>
      <c r="Z9" s="225"/>
      <c r="AA9" s="225"/>
      <c r="AB9" s="225"/>
      <c r="AC9" s="225"/>
      <c r="AD9" s="225"/>
      <c r="AE9" s="225"/>
    </row>
    <row r="10" spans="1:31" x14ac:dyDescent="0.45">
      <c r="A10" s="38" t="s">
        <v>1461</v>
      </c>
      <c r="B10" s="38"/>
      <c r="C10" s="39">
        <f>663+945.56</f>
        <v>1608.56</v>
      </c>
      <c r="D10" s="39">
        <f>1106.5+1257.13</f>
        <v>2363.63</v>
      </c>
      <c r="E10" s="39">
        <f>107.01+112.7</f>
        <v>219.71</v>
      </c>
      <c r="F10" s="39">
        <f>2843.91+1425.52</f>
        <v>4269.43</v>
      </c>
      <c r="G10" s="39">
        <f>219+513.47</f>
        <v>732.47</v>
      </c>
      <c r="H10" s="39">
        <v>0</v>
      </c>
      <c r="I10" s="39">
        <f>1753.98+934.75</f>
        <v>2688.73</v>
      </c>
      <c r="J10" s="39">
        <f>1193.61+836.66</f>
        <v>2030.27</v>
      </c>
      <c r="K10" s="39">
        <f>2025.96+1285.08</f>
        <v>3311.04</v>
      </c>
      <c r="L10" s="39">
        <f>8543.33+1781.2</f>
        <v>10324.530000000001</v>
      </c>
      <c r="M10" s="39">
        <f>557.61+649.89</f>
        <v>1207.5</v>
      </c>
      <c r="N10" s="39">
        <f>4723.31+637.2</f>
        <v>5360.51</v>
      </c>
      <c r="O10" s="39">
        <v>1462.52</v>
      </c>
      <c r="P10" s="39">
        <v>0</v>
      </c>
      <c r="Q10" s="39">
        <v>0</v>
      </c>
      <c r="R10" s="39">
        <v>0</v>
      </c>
      <c r="S10" s="40">
        <f t="shared" si="2"/>
        <v>35578.9</v>
      </c>
      <c r="U10" s="41">
        <v>36733.599999999999</v>
      </c>
      <c r="V10" s="26">
        <f t="shared" si="0"/>
        <v>-3.1434436047651115E-2</v>
      </c>
      <c r="X10" s="225"/>
      <c r="Y10" s="225"/>
      <c r="Z10" s="225"/>
      <c r="AA10" s="225"/>
      <c r="AB10" s="225"/>
      <c r="AC10" s="225"/>
      <c r="AD10" s="225"/>
      <c r="AE10" s="225"/>
    </row>
    <row r="11" spans="1:31" x14ac:dyDescent="0.45">
      <c r="A11" s="38" t="s">
        <v>1462</v>
      </c>
      <c r="B11" s="38"/>
      <c r="C11" s="39">
        <v>321</v>
      </c>
      <c r="D11" s="39">
        <v>101</v>
      </c>
      <c r="E11" s="39">
        <v>0</v>
      </c>
      <c r="F11" s="39">
        <v>127.5</v>
      </c>
      <c r="G11" s="39">
        <v>6.53</v>
      </c>
      <c r="H11" s="39">
        <v>0</v>
      </c>
      <c r="I11" s="39">
        <v>177</v>
      </c>
      <c r="J11" s="39">
        <v>220</v>
      </c>
      <c r="K11" s="39">
        <v>357</v>
      </c>
      <c r="L11" s="39">
        <v>745</v>
      </c>
      <c r="M11" s="39">
        <v>257.5</v>
      </c>
      <c r="N11" s="39">
        <v>456</v>
      </c>
      <c r="O11" s="39">
        <v>365.5</v>
      </c>
      <c r="P11" s="39">
        <v>79.58</v>
      </c>
      <c r="Q11" s="39">
        <v>0</v>
      </c>
      <c r="R11" s="39">
        <f>177+36720.35</f>
        <v>36897.35</v>
      </c>
      <c r="S11" s="40">
        <f t="shared" si="2"/>
        <v>40110.959999999999</v>
      </c>
      <c r="U11" s="41">
        <v>28995.84</v>
      </c>
      <c r="V11" s="26">
        <f t="shared" si="0"/>
        <v>0.38333498874321276</v>
      </c>
      <c r="X11" s="216" t="s">
        <v>1463</v>
      </c>
      <c r="Y11" s="216"/>
      <c r="Z11" s="216"/>
      <c r="AA11" s="216"/>
      <c r="AB11" s="216"/>
      <c r="AC11" s="216"/>
      <c r="AD11" s="216"/>
      <c r="AE11" s="216"/>
    </row>
    <row r="12" spans="1:31" x14ac:dyDescent="0.45">
      <c r="A12" s="38" t="s">
        <v>1464</v>
      </c>
      <c r="B12" s="38"/>
      <c r="C12" s="39">
        <v>1510.05</v>
      </c>
      <c r="D12" s="39">
        <v>2007.63</v>
      </c>
      <c r="E12" s="39">
        <v>179.98</v>
      </c>
      <c r="F12" s="39">
        <v>2276.5300000000002</v>
      </c>
      <c r="G12" s="39">
        <v>820</v>
      </c>
      <c r="H12" s="39" t="s">
        <v>1465</v>
      </c>
      <c r="I12" s="39">
        <v>1492.79</v>
      </c>
      <c r="J12" s="39">
        <v>1336.13</v>
      </c>
      <c r="K12" s="39">
        <v>2052.2600000000002</v>
      </c>
      <c r="L12" s="39">
        <v>2844.55</v>
      </c>
      <c r="M12" s="39">
        <v>1037.8499999999999</v>
      </c>
      <c r="N12" s="39">
        <v>1017.6</v>
      </c>
      <c r="O12" s="39">
        <v>0</v>
      </c>
      <c r="P12" s="39">
        <v>0</v>
      </c>
      <c r="Q12" s="39">
        <v>0</v>
      </c>
      <c r="R12" s="39">
        <v>0</v>
      </c>
      <c r="S12" s="40">
        <f t="shared" si="2"/>
        <v>16575.370000000003</v>
      </c>
      <c r="U12" s="41">
        <v>15148.100000000002</v>
      </c>
      <c r="V12" s="26">
        <f t="shared" si="0"/>
        <v>9.4221057426343915E-2</v>
      </c>
      <c r="X12" s="216"/>
      <c r="Y12" s="216"/>
      <c r="Z12" s="216"/>
      <c r="AA12" s="216"/>
      <c r="AB12" s="216"/>
      <c r="AC12" s="216"/>
      <c r="AD12" s="216"/>
      <c r="AE12" s="216"/>
    </row>
    <row r="13" spans="1:31" ht="15" customHeight="1" x14ac:dyDescent="0.45">
      <c r="A13" s="38" t="s">
        <v>1466</v>
      </c>
      <c r="B13" s="38"/>
      <c r="C13" s="39">
        <v>0</v>
      </c>
      <c r="D13" s="39">
        <v>0</v>
      </c>
      <c r="E13" s="39">
        <v>0</v>
      </c>
      <c r="F13" s="39">
        <v>0</v>
      </c>
      <c r="G13" s="39">
        <v>0</v>
      </c>
      <c r="H13" s="39">
        <v>0</v>
      </c>
      <c r="I13" s="39">
        <v>0</v>
      </c>
      <c r="J13" s="39">
        <v>0</v>
      </c>
      <c r="K13" s="39">
        <v>0</v>
      </c>
      <c r="L13" s="39">
        <v>0</v>
      </c>
      <c r="M13" s="39">
        <v>0</v>
      </c>
      <c r="N13" s="39">
        <v>0</v>
      </c>
      <c r="O13" s="39">
        <v>0</v>
      </c>
      <c r="P13" s="39">
        <v>2824.94</v>
      </c>
      <c r="Q13" s="39">
        <v>0</v>
      </c>
      <c r="R13" s="39">
        <v>0</v>
      </c>
      <c r="S13" s="40">
        <f t="shared" si="2"/>
        <v>2824.94</v>
      </c>
      <c r="U13" s="41">
        <v>5889.64</v>
      </c>
      <c r="V13" s="26">
        <f t="shared" si="0"/>
        <v>-0.52035438498787701</v>
      </c>
      <c r="X13" s="216" t="s">
        <v>1467</v>
      </c>
      <c r="Y13" s="216"/>
      <c r="Z13" s="216"/>
      <c r="AA13" s="216"/>
      <c r="AB13" s="216"/>
      <c r="AC13" s="216"/>
      <c r="AD13" s="216"/>
      <c r="AE13" s="216"/>
    </row>
    <row r="14" spans="1:31" x14ac:dyDescent="0.45">
      <c r="A14" s="35"/>
      <c r="B14" s="35"/>
      <c r="C14" s="34"/>
      <c r="D14" s="34"/>
      <c r="E14" s="34"/>
      <c r="F14" s="34"/>
      <c r="G14" s="34"/>
      <c r="H14" s="34"/>
      <c r="I14" s="34"/>
      <c r="J14" s="34"/>
      <c r="K14" s="34"/>
      <c r="L14" s="34"/>
      <c r="M14" s="34"/>
      <c r="N14" s="34"/>
      <c r="O14" s="34"/>
      <c r="P14" s="34"/>
      <c r="Q14" s="34"/>
      <c r="R14" s="34"/>
      <c r="S14" s="34"/>
      <c r="X14" s="42"/>
      <c r="Y14" s="42"/>
      <c r="Z14" s="42"/>
      <c r="AA14" s="42"/>
      <c r="AB14" s="42"/>
      <c r="AC14" s="42"/>
      <c r="AD14" s="42"/>
      <c r="AE14" s="42"/>
    </row>
    <row r="15" spans="1:31" x14ac:dyDescent="0.45">
      <c r="A15" s="25" t="s">
        <v>1452</v>
      </c>
      <c r="B15" s="25"/>
      <c r="C15" s="43">
        <f>SUM(C8:C13)</f>
        <v>26243.370000000003</v>
      </c>
      <c r="D15" s="43">
        <f t="shared" ref="D15:S15" si="3">SUM(D8:D13)</f>
        <v>19776.620000000003</v>
      </c>
      <c r="E15" s="43">
        <f t="shared" si="3"/>
        <v>1396.28</v>
      </c>
      <c r="F15" s="43">
        <f t="shared" si="3"/>
        <v>29189.32</v>
      </c>
      <c r="G15" s="43">
        <f t="shared" si="3"/>
        <v>4736.1200000000008</v>
      </c>
      <c r="H15" s="43">
        <f t="shared" si="3"/>
        <v>0</v>
      </c>
      <c r="I15" s="43">
        <f t="shared" si="3"/>
        <v>19918.09</v>
      </c>
      <c r="J15" s="43">
        <f t="shared" si="3"/>
        <v>17416.260000000002</v>
      </c>
      <c r="K15" s="43">
        <f t="shared" si="3"/>
        <v>26328.880000000005</v>
      </c>
      <c r="L15" s="43">
        <f t="shared" si="3"/>
        <v>52695.430000000008</v>
      </c>
      <c r="M15" s="43">
        <f t="shared" si="3"/>
        <v>15623.54</v>
      </c>
      <c r="N15" s="43">
        <f t="shared" si="3"/>
        <v>25075.120000000003</v>
      </c>
      <c r="O15" s="43">
        <f t="shared" si="3"/>
        <v>6046.91</v>
      </c>
      <c r="P15" s="43">
        <f t="shared" si="3"/>
        <v>15351.84</v>
      </c>
      <c r="Q15" s="43">
        <f t="shared" si="3"/>
        <v>0</v>
      </c>
      <c r="R15" s="43">
        <f t="shared" si="3"/>
        <v>154908.75</v>
      </c>
      <c r="S15" s="43">
        <f t="shared" si="3"/>
        <v>414706.53</v>
      </c>
      <c r="U15" s="44">
        <v>345257.19</v>
      </c>
      <c r="V15" s="26">
        <f t="shared" si="0"/>
        <v>0.20115247998166244</v>
      </c>
    </row>
    <row r="16" spans="1:31" x14ac:dyDescent="0.45">
      <c r="A16" s="35"/>
      <c r="B16" s="35"/>
      <c r="C16" s="34"/>
      <c r="D16" s="34"/>
      <c r="E16" s="34"/>
      <c r="F16" s="34"/>
      <c r="G16" s="34"/>
      <c r="H16" s="34"/>
      <c r="I16" s="34"/>
      <c r="J16" s="34"/>
      <c r="K16" s="34"/>
      <c r="L16" s="34"/>
      <c r="M16" s="34"/>
      <c r="N16" s="34"/>
      <c r="O16" s="34"/>
      <c r="P16" s="34"/>
      <c r="Q16" s="34"/>
      <c r="R16" s="34"/>
      <c r="S16" s="34"/>
    </row>
    <row r="17" spans="1:31" ht="14.65" thickBot="1" x14ac:dyDescent="0.5">
      <c r="A17" s="25" t="s">
        <v>1468</v>
      </c>
      <c r="B17" s="25"/>
      <c r="C17" s="45">
        <f>C3-C15</f>
        <v>103546.29999999999</v>
      </c>
      <c r="D17" s="45">
        <f t="shared" ref="D17:S17" si="4">D3-D15</f>
        <v>152779.89000000001</v>
      </c>
      <c r="E17" s="45">
        <f t="shared" si="4"/>
        <v>14073.21</v>
      </c>
      <c r="F17" s="45">
        <f t="shared" si="4"/>
        <v>166480.01999999999</v>
      </c>
      <c r="G17" s="45">
        <f t="shared" si="4"/>
        <v>65743.92</v>
      </c>
      <c r="H17" s="45">
        <f t="shared" si="4"/>
        <v>0</v>
      </c>
      <c r="I17" s="45">
        <f t="shared" si="4"/>
        <v>108387.68000000001</v>
      </c>
      <c r="J17" s="45">
        <f t="shared" si="4"/>
        <v>97424.609999999986</v>
      </c>
      <c r="K17" s="45">
        <f t="shared" si="4"/>
        <v>150063.63999999998</v>
      </c>
      <c r="L17" s="45">
        <f t="shared" si="4"/>
        <v>191795.27999999997</v>
      </c>
      <c r="M17" s="45">
        <f t="shared" si="4"/>
        <v>73580.600000000006</v>
      </c>
      <c r="N17" s="45">
        <f t="shared" si="4"/>
        <v>62387.859999999993</v>
      </c>
      <c r="O17" s="45">
        <f t="shared" si="4"/>
        <v>15527.18</v>
      </c>
      <c r="P17" s="45">
        <f t="shared" si="4"/>
        <v>38033.880000000005</v>
      </c>
      <c r="Q17" s="45">
        <f t="shared" si="4"/>
        <v>0</v>
      </c>
      <c r="R17" s="45">
        <f t="shared" si="4"/>
        <v>-129285.51000000001</v>
      </c>
      <c r="S17" s="45">
        <f t="shared" si="4"/>
        <v>1110538.56</v>
      </c>
      <c r="U17" s="46">
        <v>1119130.4300000002</v>
      </c>
      <c r="V17" s="26">
        <f t="shared" si="0"/>
        <v>-7.6772731485820738E-3</v>
      </c>
    </row>
    <row r="18" spans="1:31" ht="14.65" thickTop="1" x14ac:dyDescent="0.45">
      <c r="A18" s="25"/>
      <c r="B18" s="25"/>
      <c r="C18" s="30"/>
      <c r="D18" s="30"/>
      <c r="E18" s="30"/>
      <c r="F18" s="30"/>
      <c r="G18" s="30"/>
      <c r="H18" s="30"/>
      <c r="I18" s="30"/>
      <c r="J18" s="30"/>
      <c r="K18" s="30"/>
      <c r="L18" s="30"/>
      <c r="M18" s="30"/>
      <c r="N18" s="30"/>
      <c r="O18" s="30"/>
      <c r="P18" s="30"/>
      <c r="Q18" s="30"/>
      <c r="R18" s="30"/>
      <c r="S18" s="30"/>
      <c r="U18" s="20"/>
    </row>
    <row r="19" spans="1:31" ht="15.4" x14ac:dyDescent="0.45">
      <c r="A19" s="47" t="s">
        <v>1469</v>
      </c>
      <c r="B19" s="25"/>
      <c r="C19" s="48">
        <f>C8/C3</f>
        <v>0.13997600887651537</v>
      </c>
      <c r="D19" s="48">
        <f t="shared" ref="D19:S19" si="5">D8/D3</f>
        <v>6.4464678846367487E-2</v>
      </c>
      <c r="E19" s="48">
        <f t="shared" si="5"/>
        <v>2.0866234116315406E-2</v>
      </c>
      <c r="F19" s="48">
        <f t="shared" si="5"/>
        <v>0.10168700931888459</v>
      </c>
      <c r="G19" s="48">
        <f t="shared" si="5"/>
        <v>4.5078294507210841E-2</v>
      </c>
      <c r="H19" s="48"/>
      <c r="I19" s="48">
        <f t="shared" si="5"/>
        <v>9.6491685447973236E-2</v>
      </c>
      <c r="J19" s="48">
        <f t="shared" si="5"/>
        <v>0.10126821574932339</v>
      </c>
      <c r="K19" s="48">
        <f t="shared" si="5"/>
        <v>0.10254284025195627</v>
      </c>
      <c r="L19" s="48">
        <f t="shared" si="5"/>
        <v>0.13708835808117209</v>
      </c>
      <c r="M19" s="48">
        <f t="shared" si="5"/>
        <v>0.12260372668802143</v>
      </c>
      <c r="N19" s="48">
        <f t="shared" si="5"/>
        <v>0.16647614796568788</v>
      </c>
      <c r="O19" s="48">
        <f t="shared" si="5"/>
        <v>0.19555355521368453</v>
      </c>
      <c r="P19" s="48">
        <f t="shared" si="5"/>
        <v>0.23315823032826005</v>
      </c>
      <c r="Q19" s="48"/>
      <c r="R19" s="48">
        <f t="shared" si="5"/>
        <v>4.6056392556132639</v>
      </c>
      <c r="S19" s="48">
        <f t="shared" si="5"/>
        <v>0.18913539987202971</v>
      </c>
      <c r="U19" s="48">
        <f>U8/U3</f>
        <v>0.15518206852909613</v>
      </c>
    </row>
    <row r="20" spans="1:31" ht="15.4" x14ac:dyDescent="0.45">
      <c r="A20" s="49" t="s">
        <v>1470</v>
      </c>
      <c r="B20" s="25"/>
      <c r="C20" s="50">
        <f>C17/C3</f>
        <v>0.79780078029322354</v>
      </c>
      <c r="D20" s="50">
        <f t="shared" ref="D20:S20" si="6">D17/D3</f>
        <v>0.88539047295288953</v>
      </c>
      <c r="E20" s="50">
        <f t="shared" si="6"/>
        <v>0.90973975224781156</v>
      </c>
      <c r="F20" s="50">
        <f t="shared" si="6"/>
        <v>0.85082323066046006</v>
      </c>
      <c r="G20" s="50">
        <f t="shared" si="6"/>
        <v>0.9328019677627879</v>
      </c>
      <c r="H20" s="50"/>
      <c r="I20" s="50">
        <f t="shared" si="6"/>
        <v>0.8447607617334747</v>
      </c>
      <c r="J20" s="50">
        <f t="shared" si="6"/>
        <v>0.84834440909407938</v>
      </c>
      <c r="K20" s="50">
        <f t="shared" si="6"/>
        <v>0.85073698136406239</v>
      </c>
      <c r="L20" s="50">
        <f t="shared" si="6"/>
        <v>0.78446857960369931</v>
      </c>
      <c r="M20" s="50">
        <f t="shared" si="6"/>
        <v>0.82485633514318957</v>
      </c>
      <c r="N20" s="50">
        <f t="shared" si="6"/>
        <v>0.71330590382353765</v>
      </c>
      <c r="O20" s="50">
        <f t="shared" si="6"/>
        <v>0.71971424982467391</v>
      </c>
      <c r="P20" s="50">
        <f t="shared" si="6"/>
        <v>0.71243546026915072</v>
      </c>
      <c r="Q20" s="50"/>
      <c r="R20" s="50">
        <f t="shared" si="6"/>
        <v>-5.0456347440838867</v>
      </c>
      <c r="S20" s="50">
        <f t="shared" si="6"/>
        <v>0.72810498934305701</v>
      </c>
      <c r="U20" s="50">
        <f>U17/U3</f>
        <v>0.76423101009280592</v>
      </c>
    </row>
    <row r="21" spans="1:31" x14ac:dyDescent="0.45">
      <c r="A21" s="35"/>
      <c r="B21" s="35"/>
      <c r="C21" s="34"/>
      <c r="D21" s="34"/>
      <c r="E21" s="34"/>
      <c r="F21" s="34"/>
      <c r="G21" s="34"/>
      <c r="H21" s="34"/>
      <c r="I21" s="34"/>
      <c r="J21" s="34"/>
      <c r="K21" s="34"/>
      <c r="L21" s="34"/>
      <c r="M21" s="34"/>
      <c r="N21" s="34"/>
      <c r="O21" s="34"/>
      <c r="P21" s="34"/>
      <c r="Q21" s="34"/>
      <c r="R21" s="34"/>
      <c r="S21" s="34"/>
      <c r="U21" s="51"/>
    </row>
    <row r="22" spans="1:31" x14ac:dyDescent="0.45">
      <c r="A22" s="25" t="s">
        <v>502</v>
      </c>
      <c r="B22" s="25"/>
      <c r="C22" s="31">
        <v>7750</v>
      </c>
      <c r="D22" s="31">
        <f>6500+1259.83</f>
        <v>7759.83</v>
      </c>
      <c r="E22" s="31">
        <v>0</v>
      </c>
      <c r="F22" s="31">
        <v>1402.5</v>
      </c>
      <c r="G22" s="31">
        <v>4800</v>
      </c>
      <c r="H22" s="31">
        <v>0</v>
      </c>
      <c r="I22" s="31">
        <v>12000</v>
      </c>
      <c r="J22" s="31">
        <v>5800</v>
      </c>
      <c r="K22" s="31">
        <v>18000</v>
      </c>
      <c r="L22" s="31">
        <v>0</v>
      </c>
      <c r="M22" s="31">
        <v>3900</v>
      </c>
      <c r="N22" s="31">
        <v>0</v>
      </c>
      <c r="O22" s="31">
        <v>11550</v>
      </c>
      <c r="P22" s="31">
        <v>0</v>
      </c>
      <c r="Q22" s="31">
        <v>0</v>
      </c>
      <c r="R22" s="31">
        <v>70341</v>
      </c>
      <c r="S22" s="52">
        <f>SUM(C22:R22)</f>
        <v>143303.33000000002</v>
      </c>
      <c r="U22" s="19">
        <v>148499.67000000001</v>
      </c>
      <c r="V22" s="26">
        <f t="shared" si="0"/>
        <v>-3.499226631278033E-2</v>
      </c>
    </row>
    <row r="23" spans="1:31" ht="15.4" x14ac:dyDescent="0.45">
      <c r="A23" s="35"/>
      <c r="B23" s="35"/>
      <c r="L23" s="47"/>
    </row>
    <row r="24" spans="1:31" ht="15.4" x14ac:dyDescent="0.45">
      <c r="A24" s="25" t="s">
        <v>1471</v>
      </c>
      <c r="B24" s="25"/>
      <c r="C24" s="53"/>
      <c r="D24" s="53"/>
      <c r="E24" s="53"/>
      <c r="F24" s="53"/>
      <c r="G24" s="53"/>
      <c r="H24" s="53"/>
      <c r="I24" s="53"/>
      <c r="J24" s="53"/>
      <c r="K24" s="53"/>
      <c r="L24" s="49"/>
      <c r="M24" s="53"/>
      <c r="N24" s="53"/>
      <c r="O24" s="54"/>
      <c r="P24" s="54"/>
      <c r="Q24" s="54"/>
      <c r="R24" s="54"/>
      <c r="S24" s="54"/>
      <c r="U24" s="19"/>
    </row>
    <row r="25" spans="1:31" ht="15" customHeight="1" x14ac:dyDescent="0.45">
      <c r="A25" s="35"/>
      <c r="B25" s="35"/>
      <c r="U25" s="19"/>
      <c r="X25" s="225" t="s">
        <v>1472</v>
      </c>
      <c r="Y25" s="225"/>
      <c r="Z25" s="225"/>
      <c r="AA25" s="225"/>
      <c r="AB25" s="225"/>
      <c r="AC25" s="225"/>
      <c r="AD25" s="225"/>
      <c r="AE25" s="225"/>
    </row>
    <row r="26" spans="1:31" x14ac:dyDescent="0.45">
      <c r="A26" s="38" t="s">
        <v>1473</v>
      </c>
      <c r="B26" s="38"/>
      <c r="C26" s="55">
        <f>84.36+2777.37</f>
        <v>2861.73</v>
      </c>
      <c r="D26" s="55">
        <f>112.15+3807.56</f>
        <v>3919.71</v>
      </c>
      <c r="E26" s="55">
        <f>10.05+337.08</f>
        <v>347.13</v>
      </c>
      <c r="F26" s="55">
        <f>127.17+3919.29</f>
        <v>4046.46</v>
      </c>
      <c r="G26" s="55">
        <f>45.81+1416.41</f>
        <v>1462.22</v>
      </c>
      <c r="H26" s="55" t="s">
        <v>1465</v>
      </c>
      <c r="I26" s="55">
        <f>83.39+2152.77</f>
        <v>2236.16</v>
      </c>
      <c r="J26" s="55">
        <f>74.64+2167.29</f>
        <v>2241.9299999999998</v>
      </c>
      <c r="K26" s="55">
        <f>114.64+3585.34</f>
        <v>3699.98</v>
      </c>
      <c r="L26" s="55">
        <f>158.9+7605.21</f>
        <v>7764.11</v>
      </c>
      <c r="M26" s="55">
        <f>57.98+1902.37</f>
        <v>1960.35</v>
      </c>
      <c r="N26" s="55">
        <f>56.85+1946.43</f>
        <v>2003.28</v>
      </c>
      <c r="O26" s="55">
        <v>294.60000000000002</v>
      </c>
      <c r="P26" s="55">
        <v>227.3</v>
      </c>
      <c r="Q26" s="55">
        <v>0</v>
      </c>
      <c r="R26" s="55">
        <v>0</v>
      </c>
      <c r="S26" s="40">
        <f t="shared" ref="S26:S29" si="7">SUM(C26:R26)</f>
        <v>33064.959999999999</v>
      </c>
      <c r="U26" s="41">
        <v>23936.52</v>
      </c>
      <c r="V26" s="26">
        <f t="shared" si="0"/>
        <v>0.38136036483164631</v>
      </c>
      <c r="X26" s="225"/>
      <c r="Y26" s="225"/>
      <c r="Z26" s="225"/>
      <c r="AA26" s="225"/>
      <c r="AB26" s="225"/>
      <c r="AC26" s="225"/>
      <c r="AD26" s="225"/>
      <c r="AE26" s="225"/>
    </row>
    <row r="27" spans="1:31" x14ac:dyDescent="0.45">
      <c r="A27" s="38" t="s">
        <v>1474</v>
      </c>
      <c r="B27" s="38"/>
      <c r="C27" s="40">
        <v>0</v>
      </c>
      <c r="D27" s="40">
        <v>0</v>
      </c>
      <c r="E27" s="40">
        <v>0</v>
      </c>
      <c r="F27" s="40">
        <v>0</v>
      </c>
      <c r="G27" s="40">
        <v>0</v>
      </c>
      <c r="H27" s="40">
        <v>0</v>
      </c>
      <c r="I27" s="40">
        <v>0</v>
      </c>
      <c r="J27" s="40">
        <v>0</v>
      </c>
      <c r="K27" s="40">
        <v>0</v>
      </c>
      <c r="L27" s="40">
        <v>0</v>
      </c>
      <c r="M27" s="40">
        <v>0</v>
      </c>
      <c r="N27" s="40">
        <v>0</v>
      </c>
      <c r="O27" s="40">
        <v>0</v>
      </c>
      <c r="P27" s="40">
        <v>791.46</v>
      </c>
      <c r="Q27" s="40">
        <v>0</v>
      </c>
      <c r="R27" s="40">
        <v>452.52</v>
      </c>
      <c r="S27" s="40">
        <f t="shared" si="7"/>
        <v>1243.98</v>
      </c>
      <c r="U27" s="41">
        <v>1587.6999999999998</v>
      </c>
      <c r="V27" s="26">
        <f t="shared" si="0"/>
        <v>-0.21648926119543985</v>
      </c>
    </row>
    <row r="28" spans="1:31" x14ac:dyDescent="0.45">
      <c r="A28" s="38" t="s">
        <v>1475</v>
      </c>
      <c r="B28" s="38"/>
      <c r="C28" s="40">
        <v>99.16</v>
      </c>
      <c r="D28" s="40">
        <v>131.84</v>
      </c>
      <c r="E28" s="40">
        <v>11.82</v>
      </c>
      <c r="F28" s="40">
        <v>149.5</v>
      </c>
      <c r="G28" s="40">
        <v>53.85</v>
      </c>
      <c r="H28" s="40" t="s">
        <v>1465</v>
      </c>
      <c r="I28" s="40">
        <v>98.03</v>
      </c>
      <c r="J28" s="40">
        <v>87.74</v>
      </c>
      <c r="K28" s="40">
        <v>134.77000000000001</v>
      </c>
      <c r="L28" s="40">
        <v>186.8</v>
      </c>
      <c r="M28" s="40">
        <v>68.150000000000006</v>
      </c>
      <c r="N28" s="55">
        <v>66.83</v>
      </c>
      <c r="O28" s="40">
        <v>0</v>
      </c>
      <c r="P28" s="40">
        <v>0</v>
      </c>
      <c r="Q28" s="40">
        <v>0</v>
      </c>
      <c r="R28" s="40">
        <v>0</v>
      </c>
      <c r="S28" s="40">
        <f t="shared" si="7"/>
        <v>1088.49</v>
      </c>
      <c r="U28" s="41">
        <v>1357.94</v>
      </c>
      <c r="V28" s="26">
        <f t="shared" si="0"/>
        <v>-0.19842555635742376</v>
      </c>
    </row>
    <row r="29" spans="1:31" x14ac:dyDescent="0.45">
      <c r="A29" s="38" t="s">
        <v>1476</v>
      </c>
      <c r="B29" s="38"/>
      <c r="C29" s="40">
        <v>233.25</v>
      </c>
      <c r="D29" s="40">
        <v>274.20999999999998</v>
      </c>
      <c r="E29" s="40">
        <v>231</v>
      </c>
      <c r="F29" s="40">
        <v>367.65</v>
      </c>
      <c r="G29" s="40">
        <v>212.1</v>
      </c>
      <c r="H29" s="40">
        <v>0</v>
      </c>
      <c r="I29" s="40">
        <v>305.55</v>
      </c>
      <c r="J29" s="40">
        <v>316.60000000000002</v>
      </c>
      <c r="K29" s="40">
        <v>316.60000000000002</v>
      </c>
      <c r="L29" s="40">
        <v>326.05</v>
      </c>
      <c r="M29" s="40">
        <v>291.70999999999998</v>
      </c>
      <c r="N29" s="55">
        <v>266.20999999999998</v>
      </c>
      <c r="O29" s="40">
        <v>247.8</v>
      </c>
      <c r="P29" s="40">
        <v>0</v>
      </c>
      <c r="Q29" s="40">
        <v>0</v>
      </c>
      <c r="R29" s="40">
        <v>0</v>
      </c>
      <c r="S29" s="40">
        <f t="shared" si="7"/>
        <v>3388.7300000000005</v>
      </c>
      <c r="U29" s="41">
        <v>2796.3399999999997</v>
      </c>
      <c r="V29" s="26">
        <f t="shared" si="0"/>
        <v>0.21184476851884995</v>
      </c>
    </row>
    <row r="30" spans="1:31" x14ac:dyDescent="0.45">
      <c r="A30" s="38" t="s">
        <v>1477</v>
      </c>
      <c r="B30" s="38"/>
      <c r="C30" s="40">
        <v>4563.25</v>
      </c>
      <c r="D30" s="40">
        <v>5254.68</v>
      </c>
      <c r="E30" s="40">
        <v>275.25</v>
      </c>
      <c r="F30" s="40">
        <v>13806.05</v>
      </c>
      <c r="G30" s="40">
        <v>1976.87</v>
      </c>
      <c r="H30" s="40">
        <v>0</v>
      </c>
      <c r="I30" s="40">
        <v>8550.76</v>
      </c>
      <c r="J30" s="40">
        <v>8086.17</v>
      </c>
      <c r="K30" s="40">
        <v>10154.15</v>
      </c>
      <c r="L30" s="40">
        <v>4505.45</v>
      </c>
      <c r="M30" s="40">
        <v>4759.21</v>
      </c>
      <c r="N30" s="55">
        <v>0</v>
      </c>
      <c r="O30" s="40">
        <v>2691.92</v>
      </c>
      <c r="P30" s="40">
        <v>0</v>
      </c>
      <c r="Q30" s="40">
        <v>0</v>
      </c>
      <c r="R30" s="40">
        <v>0</v>
      </c>
      <c r="S30" s="40">
        <f t="shared" ref="S30" si="8">SUM(C30:R30)</f>
        <v>64623.759999999995</v>
      </c>
      <c r="U30" s="41">
        <v>48385.080000000009</v>
      </c>
      <c r="V30" s="26">
        <f t="shared" si="0"/>
        <v>0.33561337503213767</v>
      </c>
      <c r="X30" s="216" t="s">
        <v>1478</v>
      </c>
      <c r="Y30" s="216"/>
      <c r="Z30" s="216"/>
      <c r="AA30" s="216"/>
      <c r="AB30" s="216"/>
      <c r="AC30" s="216"/>
      <c r="AD30" s="216"/>
      <c r="AE30" s="216"/>
    </row>
    <row r="31" spans="1:31" x14ac:dyDescent="0.45">
      <c r="A31" s="38"/>
      <c r="B31" s="38"/>
      <c r="C31" s="52"/>
      <c r="D31" s="52"/>
      <c r="E31" s="52"/>
      <c r="F31" s="52"/>
      <c r="G31" s="52"/>
      <c r="H31" s="52"/>
      <c r="I31" s="52"/>
      <c r="J31" s="52"/>
      <c r="K31" s="52"/>
      <c r="L31" s="52"/>
      <c r="M31" s="52"/>
      <c r="N31" s="52"/>
      <c r="O31" s="52"/>
      <c r="P31" s="52"/>
      <c r="Q31" s="52"/>
      <c r="R31" s="52"/>
      <c r="S31" s="52"/>
      <c r="U31" s="56"/>
    </row>
    <row r="32" spans="1:31" x14ac:dyDescent="0.45">
      <c r="A32" s="38" t="s">
        <v>1479</v>
      </c>
      <c r="B32" s="38"/>
      <c r="C32" s="40">
        <v>0</v>
      </c>
      <c r="D32" s="40">
        <v>0</v>
      </c>
      <c r="E32" s="40">
        <v>0</v>
      </c>
      <c r="F32" s="40">
        <v>0</v>
      </c>
      <c r="G32" s="40">
        <v>0</v>
      </c>
      <c r="H32" s="40">
        <v>0</v>
      </c>
      <c r="I32" s="40">
        <v>0</v>
      </c>
      <c r="J32" s="40">
        <v>0</v>
      </c>
      <c r="K32" s="40">
        <v>0</v>
      </c>
      <c r="L32" s="40">
        <v>0</v>
      </c>
      <c r="M32" s="40">
        <v>0</v>
      </c>
      <c r="N32" s="40">
        <v>0</v>
      </c>
      <c r="O32" s="40">
        <v>0</v>
      </c>
      <c r="P32" s="40">
        <v>0</v>
      </c>
      <c r="Q32" s="40">
        <v>0</v>
      </c>
      <c r="R32" s="40">
        <v>4853.9399999999996</v>
      </c>
      <c r="S32" s="40">
        <f t="shared" ref="S32:S35" si="9">SUM(C32:R32)</f>
        <v>4853.9399999999996</v>
      </c>
      <c r="U32" s="41">
        <v>4490.1899999999996</v>
      </c>
      <c r="V32" s="26">
        <f t="shared" si="0"/>
        <v>8.100993499161506E-2</v>
      </c>
    </row>
    <row r="33" spans="1:31" x14ac:dyDescent="0.45">
      <c r="A33" s="38" t="s">
        <v>1480</v>
      </c>
      <c r="B33" s="38"/>
      <c r="C33" s="40">
        <v>990</v>
      </c>
      <c r="D33" s="40">
        <v>0</v>
      </c>
      <c r="E33" s="40">
        <v>0</v>
      </c>
      <c r="F33" s="40">
        <v>0</v>
      </c>
      <c r="G33" s="40">
        <f>990+195</f>
        <v>1185</v>
      </c>
      <c r="H33" s="40">
        <v>0</v>
      </c>
      <c r="I33" s="40">
        <v>0</v>
      </c>
      <c r="J33" s="40">
        <v>0</v>
      </c>
      <c r="K33" s="40">
        <v>990</v>
      </c>
      <c r="L33" s="40">
        <v>0</v>
      </c>
      <c r="M33" s="40">
        <v>195</v>
      </c>
      <c r="N33" s="40">
        <v>1380</v>
      </c>
      <c r="O33" s="40">
        <v>0</v>
      </c>
      <c r="P33" s="40">
        <v>0</v>
      </c>
      <c r="Q33" s="40">
        <v>0</v>
      </c>
      <c r="R33" s="40">
        <v>0</v>
      </c>
      <c r="S33" s="40">
        <f t="shared" si="9"/>
        <v>4740</v>
      </c>
      <c r="U33" s="41">
        <v>1380</v>
      </c>
      <c r="V33" s="26">
        <f t="shared" si="0"/>
        <v>2.4347826086956523</v>
      </c>
      <c r="X33" s="216" t="s">
        <v>1481</v>
      </c>
      <c r="Y33" s="216"/>
      <c r="Z33" s="216"/>
      <c r="AA33" s="216"/>
      <c r="AB33" s="216"/>
      <c r="AC33" s="216"/>
      <c r="AD33" s="216"/>
      <c r="AE33" s="216"/>
    </row>
    <row r="34" spans="1:31" x14ac:dyDescent="0.45">
      <c r="A34" s="38" t="s">
        <v>1482</v>
      </c>
      <c r="B34" s="38"/>
      <c r="C34" s="40">
        <v>0</v>
      </c>
      <c r="D34" s="40">
        <v>0</v>
      </c>
      <c r="E34" s="40">
        <v>0</v>
      </c>
      <c r="F34" s="40">
        <v>0</v>
      </c>
      <c r="G34" s="40">
        <v>0</v>
      </c>
      <c r="H34" s="40">
        <v>0</v>
      </c>
      <c r="I34" s="40">
        <v>0</v>
      </c>
      <c r="J34" s="40">
        <v>0</v>
      </c>
      <c r="K34" s="40">
        <v>0</v>
      </c>
      <c r="L34" s="40">
        <v>0</v>
      </c>
      <c r="M34" s="40">
        <v>0</v>
      </c>
      <c r="N34" s="40">
        <v>0</v>
      </c>
      <c r="O34" s="40">
        <v>0</v>
      </c>
      <c r="P34" s="40">
        <v>0</v>
      </c>
      <c r="Q34" s="40">
        <v>0</v>
      </c>
      <c r="R34" s="40">
        <v>12500</v>
      </c>
      <c r="S34" s="40">
        <f t="shared" si="9"/>
        <v>12500</v>
      </c>
      <c r="U34" s="41">
        <v>12500</v>
      </c>
      <c r="V34" s="26">
        <f t="shared" si="0"/>
        <v>0</v>
      </c>
    </row>
    <row r="35" spans="1:31" x14ac:dyDescent="0.45">
      <c r="A35" s="38" t="s">
        <v>1483</v>
      </c>
      <c r="B35" s="38"/>
      <c r="C35" s="40">
        <v>0</v>
      </c>
      <c r="D35" s="40">
        <v>0</v>
      </c>
      <c r="E35" s="40">
        <v>0</v>
      </c>
      <c r="F35" s="40">
        <v>0</v>
      </c>
      <c r="G35" s="40">
        <v>0</v>
      </c>
      <c r="H35" s="40">
        <v>0</v>
      </c>
      <c r="I35" s="40">
        <v>0</v>
      </c>
      <c r="J35" s="40">
        <v>0</v>
      </c>
      <c r="K35" s="40">
        <v>0</v>
      </c>
      <c r="L35" s="40">
        <v>0</v>
      </c>
      <c r="M35" s="40">
        <v>0</v>
      </c>
      <c r="N35" s="40">
        <v>0</v>
      </c>
      <c r="O35" s="40">
        <v>0</v>
      </c>
      <c r="P35" s="40">
        <v>0</v>
      </c>
      <c r="Q35" s="40">
        <v>0</v>
      </c>
      <c r="R35" s="40">
        <f>10654.98+77.5</f>
        <v>10732.48</v>
      </c>
      <c r="S35" s="40">
        <f t="shared" si="9"/>
        <v>10732.48</v>
      </c>
      <c r="U35" s="41">
        <v>2507.65</v>
      </c>
      <c r="V35" s="26">
        <f t="shared" si="0"/>
        <v>3.2798955197096884</v>
      </c>
      <c r="X35" s="216" t="s">
        <v>1484</v>
      </c>
      <c r="Y35" s="216"/>
      <c r="Z35" s="216"/>
      <c r="AA35" s="216"/>
      <c r="AB35" s="216"/>
      <c r="AC35" s="216"/>
      <c r="AD35" s="216"/>
      <c r="AE35" s="216"/>
    </row>
    <row r="36" spans="1:31" x14ac:dyDescent="0.45">
      <c r="A36" s="38"/>
      <c r="B36" s="38"/>
      <c r="C36" s="52"/>
      <c r="D36" s="52"/>
      <c r="E36" s="52"/>
      <c r="F36" s="52"/>
      <c r="G36" s="52"/>
      <c r="H36" s="52"/>
      <c r="I36" s="52"/>
      <c r="J36" s="52"/>
      <c r="K36" s="52"/>
      <c r="L36" s="52"/>
      <c r="M36" s="52"/>
      <c r="N36" s="52"/>
      <c r="O36" s="52"/>
      <c r="P36" s="52"/>
      <c r="Q36" s="52"/>
      <c r="R36" s="52"/>
      <c r="S36" s="52"/>
      <c r="U36" s="56"/>
    </row>
    <row r="37" spans="1:31" x14ac:dyDescent="0.45">
      <c r="A37" s="38" t="s">
        <v>1485</v>
      </c>
      <c r="B37" s="38"/>
      <c r="C37" s="57">
        <v>6277.92</v>
      </c>
      <c r="D37" s="57">
        <v>4259.1499999999996</v>
      </c>
      <c r="E37" s="57">
        <v>0</v>
      </c>
      <c r="F37" s="57">
        <v>4429.49</v>
      </c>
      <c r="G37" s="57">
        <v>2820.78</v>
      </c>
      <c r="H37" s="57">
        <v>0</v>
      </c>
      <c r="I37" s="57">
        <v>2617.25</v>
      </c>
      <c r="J37" s="57">
        <v>2671.7</v>
      </c>
      <c r="K37" s="57">
        <v>2296.2399999999998</v>
      </c>
      <c r="L37" s="58">
        <v>1254.03</v>
      </c>
      <c r="M37" s="57">
        <v>1830.7</v>
      </c>
      <c r="N37" s="57">
        <v>1042.26</v>
      </c>
      <c r="O37" s="57">
        <f>3504.03*0.5</f>
        <v>1752.0150000000001</v>
      </c>
      <c r="P37" s="57">
        <v>251.23</v>
      </c>
      <c r="Q37" s="57">
        <v>0</v>
      </c>
      <c r="R37" s="57">
        <f>5143.23+1752.02</f>
        <v>6895.25</v>
      </c>
      <c r="S37" s="40">
        <f>SUM(C37:R37)</f>
        <v>38398.014999999999</v>
      </c>
      <c r="U37" s="41">
        <v>22040.640000000003</v>
      </c>
      <c r="V37" s="26">
        <f t="shared" si="0"/>
        <v>0.74214609920583041</v>
      </c>
      <c r="X37" s="216" t="s">
        <v>1486</v>
      </c>
      <c r="Y37" s="216"/>
      <c r="Z37" s="216"/>
      <c r="AA37" s="216"/>
      <c r="AB37" s="216"/>
      <c r="AC37" s="216"/>
      <c r="AD37" s="216"/>
      <c r="AE37" s="216"/>
    </row>
    <row r="38" spans="1:31" x14ac:dyDescent="0.45">
      <c r="A38" s="38" t="s">
        <v>1487</v>
      </c>
      <c r="B38" s="38"/>
      <c r="C38" s="57">
        <v>0</v>
      </c>
      <c r="D38" s="57">
        <v>0</v>
      </c>
      <c r="E38" s="57">
        <v>0</v>
      </c>
      <c r="F38" s="57">
        <v>1560</v>
      </c>
      <c r="G38" s="57">
        <v>0</v>
      </c>
      <c r="H38" s="57">
        <v>0</v>
      </c>
      <c r="I38" s="57">
        <v>1560</v>
      </c>
      <c r="J38" s="57">
        <v>1560</v>
      </c>
      <c r="K38" s="57">
        <v>1820</v>
      </c>
      <c r="L38" s="57">
        <v>2860</v>
      </c>
      <c r="M38" s="57">
        <v>1501.97</v>
      </c>
      <c r="N38" s="57">
        <v>1560</v>
      </c>
      <c r="O38" s="57">
        <v>780</v>
      </c>
      <c r="P38" s="57">
        <v>0</v>
      </c>
      <c r="Q38" s="57">
        <v>0</v>
      </c>
      <c r="R38" s="57">
        <v>0</v>
      </c>
      <c r="S38" s="40">
        <f t="shared" ref="S38:S41" si="10">SUM(C38:R38)</f>
        <v>13201.97</v>
      </c>
      <c r="U38" s="41">
        <v>8840</v>
      </c>
      <c r="V38" s="26">
        <f t="shared" si="0"/>
        <v>0.4934355203619909</v>
      </c>
      <c r="X38" s="216" t="s">
        <v>1488</v>
      </c>
      <c r="Y38" s="216"/>
      <c r="Z38" s="216"/>
      <c r="AA38" s="216"/>
      <c r="AB38" s="216"/>
      <c r="AC38" s="216"/>
      <c r="AD38" s="216"/>
      <c r="AE38" s="216"/>
    </row>
    <row r="39" spans="1:31" x14ac:dyDescent="0.45">
      <c r="A39" s="38" t="s">
        <v>1489</v>
      </c>
      <c r="B39" s="38"/>
      <c r="C39" s="59">
        <v>123.33</v>
      </c>
      <c r="D39" s="59">
        <v>100</v>
      </c>
      <c r="E39" s="59">
        <v>65</v>
      </c>
      <c r="F39" s="59">
        <v>65</v>
      </c>
      <c r="G39" s="59">
        <v>65</v>
      </c>
      <c r="H39" s="59">
        <v>0</v>
      </c>
      <c r="I39" s="59">
        <v>65</v>
      </c>
      <c r="J39" s="59">
        <v>65</v>
      </c>
      <c r="K39" s="59">
        <v>140</v>
      </c>
      <c r="L39" s="40">
        <v>160</v>
      </c>
      <c r="M39" s="40">
        <v>65</v>
      </c>
      <c r="N39" s="57">
        <v>117.5</v>
      </c>
      <c r="O39" s="59">
        <v>123.33</v>
      </c>
      <c r="P39" s="59">
        <v>90</v>
      </c>
      <c r="Q39" s="40">
        <v>0</v>
      </c>
      <c r="R39" s="40">
        <v>230</v>
      </c>
      <c r="S39" s="40">
        <f t="shared" si="10"/>
        <v>1474.1599999999999</v>
      </c>
      <c r="U39" s="41">
        <v>1051.6599999999999</v>
      </c>
      <c r="V39" s="26">
        <f t="shared" si="0"/>
        <v>0.40174581138390741</v>
      </c>
      <c r="X39" s="216" t="s">
        <v>1490</v>
      </c>
      <c r="Y39" s="216"/>
      <c r="Z39" s="216"/>
      <c r="AA39" s="216"/>
      <c r="AB39" s="216"/>
      <c r="AC39" s="216"/>
      <c r="AD39" s="216"/>
      <c r="AE39" s="216"/>
    </row>
    <row r="40" spans="1:31" x14ac:dyDescent="0.45">
      <c r="A40" s="38" t="s">
        <v>1491</v>
      </c>
      <c r="B40" s="38"/>
      <c r="C40" s="40">
        <v>814.55</v>
      </c>
      <c r="D40" s="40">
        <v>524.41999999999996</v>
      </c>
      <c r="E40" s="40">
        <v>0</v>
      </c>
      <c r="F40" s="40">
        <v>586.94000000000005</v>
      </c>
      <c r="G40" s="40">
        <v>0</v>
      </c>
      <c r="H40" s="40">
        <v>0</v>
      </c>
      <c r="I40" s="40">
        <v>564.24</v>
      </c>
      <c r="J40" s="40">
        <v>398.06</v>
      </c>
      <c r="K40" s="40">
        <v>780</v>
      </c>
      <c r="L40" s="40">
        <v>2796.86</v>
      </c>
      <c r="M40" s="40">
        <v>248.86</v>
      </c>
      <c r="N40" s="57">
        <v>524.41999999999996</v>
      </c>
      <c r="O40" s="40">
        <v>524.41999999999996</v>
      </c>
      <c r="P40" s="40">
        <v>79.64</v>
      </c>
      <c r="Q40" s="40">
        <v>0</v>
      </c>
      <c r="R40" s="40">
        <v>0</v>
      </c>
      <c r="S40" s="40">
        <f t="shared" si="10"/>
        <v>7842.41</v>
      </c>
      <c r="U40" s="41">
        <v>4957.170000000001</v>
      </c>
      <c r="V40" s="26">
        <f t="shared" si="0"/>
        <v>0.5820337006800248</v>
      </c>
      <c r="X40" s="216" t="s">
        <v>1492</v>
      </c>
      <c r="Y40" s="216"/>
      <c r="Z40" s="216"/>
      <c r="AA40" s="216"/>
      <c r="AB40" s="216"/>
      <c r="AC40" s="216"/>
      <c r="AD40" s="216"/>
      <c r="AE40" s="216"/>
    </row>
    <row r="41" spans="1:31" x14ac:dyDescent="0.45">
      <c r="A41" s="38" t="s">
        <v>1493</v>
      </c>
      <c r="B41" s="38"/>
      <c r="C41" s="40">
        <v>129.37</v>
      </c>
      <c r="D41" s="40">
        <v>199.93</v>
      </c>
      <c r="E41" s="40">
        <v>0</v>
      </c>
      <c r="F41" s="40">
        <v>171.76</v>
      </c>
      <c r="G41" s="40">
        <v>0</v>
      </c>
      <c r="H41" s="40">
        <v>0</v>
      </c>
      <c r="I41" s="40">
        <v>251.35</v>
      </c>
      <c r="J41" s="40">
        <v>204.03</v>
      </c>
      <c r="K41" s="40">
        <v>237.67</v>
      </c>
      <c r="L41" s="60">
        <f>1465.96-400+100</f>
        <v>1165.96</v>
      </c>
      <c r="M41" s="40">
        <v>184.35</v>
      </c>
      <c r="N41" s="57">
        <v>67.28</v>
      </c>
      <c r="O41" s="40">
        <v>186.25</v>
      </c>
      <c r="P41" s="40">
        <v>412.02</v>
      </c>
      <c r="Q41" s="40">
        <v>0</v>
      </c>
      <c r="R41" s="40">
        <v>0</v>
      </c>
      <c r="S41" s="40">
        <f t="shared" si="10"/>
        <v>3209.97</v>
      </c>
      <c r="U41" s="41">
        <v>3418.5599999999995</v>
      </c>
      <c r="V41" s="26">
        <f t="shared" si="0"/>
        <v>-6.1016919404661529E-2</v>
      </c>
    </row>
    <row r="42" spans="1:31" x14ac:dyDescent="0.45">
      <c r="A42" s="38"/>
      <c r="B42" s="38"/>
      <c r="C42" s="52"/>
      <c r="D42" s="52"/>
      <c r="E42" s="52"/>
      <c r="F42" s="52"/>
      <c r="G42" s="52"/>
      <c r="H42" s="52"/>
      <c r="I42" s="52"/>
      <c r="J42" s="52"/>
      <c r="K42" s="52"/>
      <c r="L42" s="52"/>
      <c r="M42" s="52"/>
      <c r="N42" s="52"/>
      <c r="O42" s="52"/>
      <c r="P42" s="52"/>
      <c r="Q42" s="52"/>
      <c r="R42" s="52"/>
      <c r="S42" s="52"/>
      <c r="U42" s="56"/>
    </row>
    <row r="43" spans="1:31" x14ac:dyDescent="0.45">
      <c r="A43" s="38" t="s">
        <v>1494</v>
      </c>
      <c r="B43" s="38"/>
      <c r="C43" s="40">
        <v>0</v>
      </c>
      <c r="D43" s="40">
        <v>0</v>
      </c>
      <c r="E43" s="40">
        <v>0</v>
      </c>
      <c r="F43" s="40">
        <v>0</v>
      </c>
      <c r="G43" s="40">
        <v>0</v>
      </c>
      <c r="H43" s="40">
        <v>0</v>
      </c>
      <c r="I43" s="40">
        <v>0</v>
      </c>
      <c r="J43" s="40">
        <v>0</v>
      </c>
      <c r="K43" s="40">
        <v>0</v>
      </c>
      <c r="L43" s="40">
        <v>0</v>
      </c>
      <c r="M43" s="40">
        <v>0</v>
      </c>
      <c r="N43" s="40">
        <v>0</v>
      </c>
      <c r="O43" s="40">
        <v>0</v>
      </c>
      <c r="P43" s="40">
        <v>1100</v>
      </c>
      <c r="Q43" s="40">
        <v>0</v>
      </c>
      <c r="R43" s="40">
        <f>4874.9+4007.01</f>
        <v>8881.91</v>
      </c>
      <c r="S43" s="40">
        <f t="shared" ref="S43:S45" si="11">SUM(C43:R43)</f>
        <v>9981.91</v>
      </c>
      <c r="U43" s="41">
        <v>5537.01</v>
      </c>
      <c r="V43" s="26">
        <f t="shared" si="0"/>
        <v>0.80276177937189919</v>
      </c>
      <c r="X43" s="216" t="s">
        <v>1495</v>
      </c>
      <c r="Y43" s="216"/>
      <c r="Z43" s="216"/>
      <c r="AA43" s="216"/>
      <c r="AB43" s="216"/>
      <c r="AC43" s="216"/>
      <c r="AD43" s="216"/>
      <c r="AE43" s="216"/>
    </row>
    <row r="44" spans="1:31" x14ac:dyDescent="0.45">
      <c r="A44" s="38" t="s">
        <v>1496</v>
      </c>
      <c r="B44" s="38"/>
      <c r="C44" s="40">
        <v>0</v>
      </c>
      <c r="D44" s="40">
        <v>0</v>
      </c>
      <c r="E44" s="40">
        <v>0</v>
      </c>
      <c r="F44" s="40">
        <v>0</v>
      </c>
      <c r="G44" s="40">
        <v>0</v>
      </c>
      <c r="H44" s="40">
        <v>0</v>
      </c>
      <c r="I44" s="40">
        <v>0</v>
      </c>
      <c r="J44" s="40">
        <v>0</v>
      </c>
      <c r="K44" s="40">
        <v>0</v>
      </c>
      <c r="L44" s="40">
        <v>0</v>
      </c>
      <c r="M44" s="40">
        <v>0</v>
      </c>
      <c r="N44" s="40">
        <v>0</v>
      </c>
      <c r="O44" s="40">
        <v>0</v>
      </c>
      <c r="P44" s="40">
        <v>0</v>
      </c>
      <c r="Q44" s="40">
        <v>0</v>
      </c>
      <c r="R44" s="40">
        <f>1964.7+1864</f>
        <v>3828.7</v>
      </c>
      <c r="S44" s="40">
        <f t="shared" si="11"/>
        <v>3828.7</v>
      </c>
      <c r="U44" s="41">
        <v>4131.2800000000007</v>
      </c>
      <c r="V44" s="26">
        <f t="shared" si="0"/>
        <v>-7.3241223059197336E-2</v>
      </c>
    </row>
    <row r="45" spans="1:31" x14ac:dyDescent="0.45">
      <c r="A45" s="38" t="s">
        <v>990</v>
      </c>
      <c r="B45" s="38"/>
      <c r="C45" s="40">
        <v>0</v>
      </c>
      <c r="D45" s="40">
        <v>0</v>
      </c>
      <c r="E45" s="40">
        <v>0</v>
      </c>
      <c r="F45" s="40">
        <v>0</v>
      </c>
      <c r="G45" s="40">
        <v>0</v>
      </c>
      <c r="H45" s="40">
        <v>0</v>
      </c>
      <c r="I45" s="40">
        <v>0</v>
      </c>
      <c r="J45" s="40">
        <v>0</v>
      </c>
      <c r="K45" s="40">
        <v>0</v>
      </c>
      <c r="L45" s="40">
        <v>0</v>
      </c>
      <c r="M45" s="40">
        <v>0</v>
      </c>
      <c r="N45" s="40">
        <v>0</v>
      </c>
      <c r="O45" s="40">
        <v>0</v>
      </c>
      <c r="P45" s="40">
        <v>0</v>
      </c>
      <c r="Q45" s="40">
        <v>0</v>
      </c>
      <c r="R45" s="40">
        <v>4980.5200000000004</v>
      </c>
      <c r="S45" s="40">
        <f t="shared" si="11"/>
        <v>4980.5200000000004</v>
      </c>
      <c r="U45" s="41">
        <v>3841.14</v>
      </c>
      <c r="V45" s="26">
        <f t="shared" si="0"/>
        <v>0.29662548097700175</v>
      </c>
    </row>
    <row r="46" spans="1:31" x14ac:dyDescent="0.45">
      <c r="A46" s="38" t="s">
        <v>1497</v>
      </c>
      <c r="B46" s="38"/>
      <c r="C46" s="40">
        <v>2229.67</v>
      </c>
      <c r="D46" s="40">
        <v>679.67</v>
      </c>
      <c r="E46" s="40">
        <v>845</v>
      </c>
      <c r="F46" s="40">
        <v>1776.33</v>
      </c>
      <c r="G46" s="40">
        <v>1626.67</v>
      </c>
      <c r="H46" s="40">
        <v>0</v>
      </c>
      <c r="I46" s="40">
        <v>1044.3399999999999</v>
      </c>
      <c r="J46" s="40">
        <v>1598</v>
      </c>
      <c r="K46" s="40">
        <v>2139.66</v>
      </c>
      <c r="L46" s="40">
        <v>6033.33</v>
      </c>
      <c r="M46" s="40">
        <v>1916.93</v>
      </c>
      <c r="N46" s="40">
        <v>3910</v>
      </c>
      <c r="O46" s="40">
        <v>1003.33</v>
      </c>
      <c r="P46" s="40">
        <v>393.33</v>
      </c>
      <c r="Q46" s="40">
        <v>0</v>
      </c>
      <c r="R46" s="40">
        <v>1397.02</v>
      </c>
      <c r="S46" s="40">
        <f>SUM(C46:R46)</f>
        <v>26593.280000000002</v>
      </c>
      <c r="U46" s="41">
        <v>7905</v>
      </c>
      <c r="V46" s="26">
        <f t="shared" si="0"/>
        <v>2.3641087919038588</v>
      </c>
      <c r="X46" s="216" t="s">
        <v>1498</v>
      </c>
      <c r="Y46" s="216"/>
      <c r="Z46" s="216"/>
      <c r="AA46" s="216"/>
      <c r="AB46" s="216"/>
      <c r="AC46" s="216"/>
      <c r="AD46" s="216"/>
      <c r="AE46" s="216"/>
    </row>
    <row r="47" spans="1:31" x14ac:dyDescent="0.45">
      <c r="A47" s="38" t="s">
        <v>994</v>
      </c>
      <c r="B47" s="38"/>
      <c r="C47" s="40">
        <v>1278.53</v>
      </c>
      <c r="D47" s="40">
        <v>4.4000000000000004</v>
      </c>
      <c r="E47" s="40">
        <v>0</v>
      </c>
      <c r="F47" s="40">
        <v>381.65</v>
      </c>
      <c r="G47" s="40">
        <v>8.3000000000000007</v>
      </c>
      <c r="H47" s="40">
        <v>0</v>
      </c>
      <c r="I47" s="40">
        <v>19.72</v>
      </c>
      <c r="J47" s="40">
        <v>70.84</v>
      </c>
      <c r="K47" s="40">
        <v>104.34</v>
      </c>
      <c r="L47" s="40">
        <v>698.8</v>
      </c>
      <c r="M47" s="40">
        <v>109.95</v>
      </c>
      <c r="N47" s="40">
        <v>4860.32</v>
      </c>
      <c r="O47" s="40">
        <v>0</v>
      </c>
      <c r="P47" s="40">
        <v>336.44</v>
      </c>
      <c r="Q47" s="40">
        <v>0</v>
      </c>
      <c r="R47" s="40">
        <v>1711.96</v>
      </c>
      <c r="S47" s="40">
        <f>SUM(C47:R47)</f>
        <v>9585.25</v>
      </c>
      <c r="U47" s="41">
        <v>15100.21</v>
      </c>
      <c r="V47" s="26">
        <f t="shared" si="0"/>
        <v>-0.36522405979784384</v>
      </c>
      <c r="X47" s="216" t="s">
        <v>1499</v>
      </c>
      <c r="Y47" s="216"/>
      <c r="Z47" s="216"/>
      <c r="AA47" s="216"/>
      <c r="AB47" s="216"/>
      <c r="AC47" s="216"/>
      <c r="AD47" s="216"/>
      <c r="AE47" s="216"/>
    </row>
    <row r="48" spans="1:31" x14ac:dyDescent="0.45">
      <c r="A48" s="38"/>
      <c r="B48" s="38"/>
      <c r="C48" s="52"/>
      <c r="D48" s="52"/>
      <c r="E48" s="52"/>
      <c r="F48" s="52"/>
      <c r="G48" s="52"/>
      <c r="H48" s="52"/>
      <c r="I48" s="52"/>
      <c r="J48" s="52"/>
      <c r="K48" s="52"/>
      <c r="L48" s="52"/>
      <c r="M48" s="52"/>
      <c r="N48" s="52"/>
      <c r="O48" s="52"/>
      <c r="P48" s="52"/>
      <c r="Q48" s="52"/>
      <c r="R48" s="52"/>
      <c r="S48" s="52"/>
      <c r="U48" s="56"/>
    </row>
    <row r="49" spans="1:31" x14ac:dyDescent="0.45">
      <c r="A49" s="38" t="s">
        <v>1500</v>
      </c>
      <c r="B49" s="38"/>
      <c r="C49" s="40">
        <v>7750</v>
      </c>
      <c r="D49" s="40">
        <v>15519.67</v>
      </c>
      <c r="E49" s="40">
        <v>6178.8</v>
      </c>
      <c r="F49" s="40">
        <v>15000</v>
      </c>
      <c r="G49" s="40">
        <v>4800</v>
      </c>
      <c r="H49" s="40">
        <v>0</v>
      </c>
      <c r="I49" s="40">
        <v>12000</v>
      </c>
      <c r="J49" s="40">
        <v>5800</v>
      </c>
      <c r="K49" s="40">
        <v>18000</v>
      </c>
      <c r="L49" s="40">
        <v>11460</v>
      </c>
      <c r="M49" s="40">
        <v>4000</v>
      </c>
      <c r="N49" s="40">
        <v>6750</v>
      </c>
      <c r="O49" s="40">
        <f>11550-9000</f>
        <v>2550</v>
      </c>
      <c r="P49" s="40">
        <v>7600</v>
      </c>
      <c r="Q49" s="40">
        <v>0</v>
      </c>
      <c r="R49" s="40">
        <f>15961.95+2900+9000+1500+1214.26</f>
        <v>30576.21</v>
      </c>
      <c r="S49" s="40">
        <f t="shared" ref="S49" si="12">SUM(C49:R49)</f>
        <v>147984.68</v>
      </c>
      <c r="U49" s="41">
        <v>117858.17000000001</v>
      </c>
      <c r="V49" s="26">
        <f t="shared" si="0"/>
        <v>0.25561664498948167</v>
      </c>
    </row>
    <row r="50" spans="1:31" x14ac:dyDescent="0.45">
      <c r="A50" s="38"/>
      <c r="B50" s="38"/>
      <c r="C50" s="52"/>
      <c r="D50" s="52"/>
      <c r="E50" s="52"/>
      <c r="F50" s="52"/>
      <c r="G50" s="52"/>
      <c r="H50" s="52"/>
      <c r="I50" s="52"/>
      <c r="J50" s="52"/>
      <c r="K50" s="52"/>
      <c r="L50" s="52"/>
      <c r="M50" s="52"/>
      <c r="N50" s="52"/>
      <c r="O50" s="52"/>
      <c r="P50" s="52"/>
      <c r="Q50" s="52"/>
      <c r="R50" s="52"/>
      <c r="S50" s="52"/>
      <c r="U50" s="56"/>
    </row>
    <row r="51" spans="1:31" x14ac:dyDescent="0.45">
      <c r="A51" s="38" t="s">
        <v>1501</v>
      </c>
      <c r="B51" s="38"/>
      <c r="C51" s="40">
        <f>9202.8-1507.69</f>
        <v>7695.1099999999988</v>
      </c>
      <c r="D51" s="40">
        <v>12575</v>
      </c>
      <c r="E51" s="40">
        <v>3001.92</v>
      </c>
      <c r="F51" s="40">
        <v>11362.5</v>
      </c>
      <c r="G51" s="40">
        <v>6070.45</v>
      </c>
      <c r="H51" s="40">
        <v>0</v>
      </c>
      <c r="I51" s="40">
        <f>11266.35-888.46</f>
        <v>10377.89</v>
      </c>
      <c r="J51" s="40">
        <v>9348.61</v>
      </c>
      <c r="K51" s="40">
        <v>9860.82</v>
      </c>
      <c r="L51" s="40">
        <v>14388.26</v>
      </c>
      <c r="M51" s="40">
        <v>10659.88</v>
      </c>
      <c r="N51" s="40">
        <v>5042.75</v>
      </c>
      <c r="O51" s="40">
        <v>7900</v>
      </c>
      <c r="P51" s="40">
        <v>8100</v>
      </c>
      <c r="Q51" s="40">
        <v>0</v>
      </c>
      <c r="R51" s="40">
        <v>0</v>
      </c>
      <c r="S51" s="40">
        <f t="shared" ref="S51:S52" si="13">SUM(C51:R51)</f>
        <v>116383.18999999999</v>
      </c>
      <c r="U51" s="41">
        <v>115384.33999999998</v>
      </c>
      <c r="V51" s="26">
        <f t="shared" si="0"/>
        <v>8.6567206607066956E-3</v>
      </c>
      <c r="X51" s="220" t="s">
        <v>1502</v>
      </c>
      <c r="Y51" s="220"/>
      <c r="Z51" s="220"/>
      <c r="AA51" s="220"/>
      <c r="AB51" s="220"/>
      <c r="AC51" s="220"/>
      <c r="AD51" s="220"/>
      <c r="AE51" s="220"/>
    </row>
    <row r="52" spans="1:31" x14ac:dyDescent="0.45">
      <c r="A52" s="38" t="s">
        <v>1503</v>
      </c>
      <c r="B52" s="38"/>
      <c r="C52" s="57">
        <v>10169.5</v>
      </c>
      <c r="D52" s="57">
        <v>5095.38</v>
      </c>
      <c r="E52" s="57">
        <v>1534.5</v>
      </c>
      <c r="F52" s="57">
        <v>11055.13</v>
      </c>
      <c r="G52" s="57">
        <v>3449.5</v>
      </c>
      <c r="H52" s="57">
        <v>0</v>
      </c>
      <c r="I52" s="57">
        <v>5243.5</v>
      </c>
      <c r="J52" s="57">
        <v>5159.6400000000003</v>
      </c>
      <c r="K52" s="57">
        <v>8237.02</v>
      </c>
      <c r="L52" s="57">
        <v>5181.5</v>
      </c>
      <c r="M52" s="57">
        <v>3576.25</v>
      </c>
      <c r="N52" s="40">
        <v>3596.75</v>
      </c>
      <c r="O52" s="40">
        <v>283.5</v>
      </c>
      <c r="P52" s="40">
        <v>0</v>
      </c>
      <c r="Q52" s="40">
        <v>0</v>
      </c>
      <c r="R52" s="40">
        <v>0</v>
      </c>
      <c r="S52" s="40">
        <f t="shared" si="13"/>
        <v>62582.17</v>
      </c>
      <c r="U52" s="41">
        <v>73525.5</v>
      </c>
      <c r="V52" s="26">
        <f t="shared" si="0"/>
        <v>-0.14883720613936663</v>
      </c>
      <c r="X52" s="220"/>
      <c r="Y52" s="220"/>
      <c r="Z52" s="220"/>
      <c r="AA52" s="220"/>
      <c r="AB52" s="220"/>
      <c r="AC52" s="220"/>
      <c r="AD52" s="220"/>
      <c r="AE52" s="220"/>
    </row>
    <row r="53" spans="1:31" x14ac:dyDescent="0.45">
      <c r="A53" s="38" t="s">
        <v>1504</v>
      </c>
      <c r="B53" s="38"/>
      <c r="C53" s="57">
        <f>5000+240.75</f>
        <v>5240.75</v>
      </c>
      <c r="D53" s="57">
        <f>6500+240.75</f>
        <v>6740.75</v>
      </c>
      <c r="E53" s="57">
        <v>0</v>
      </c>
      <c r="F53" s="57">
        <f>9200+240.75</f>
        <v>9440.75</v>
      </c>
      <c r="G53" s="57">
        <f>2300+240.75</f>
        <v>2540.75</v>
      </c>
      <c r="H53" s="57">
        <v>0</v>
      </c>
      <c r="I53" s="57">
        <f>8700+240.75</f>
        <v>8940.75</v>
      </c>
      <c r="J53" s="57">
        <f>8700+240.75</f>
        <v>8940.75</v>
      </c>
      <c r="K53" s="57">
        <f>9000+240.75</f>
        <v>9240.75</v>
      </c>
      <c r="L53" s="57">
        <f>15427.23+240.75</f>
        <v>15667.98</v>
      </c>
      <c r="M53" s="57">
        <f>8000+240.75</f>
        <v>8240.75</v>
      </c>
      <c r="N53" s="40">
        <f>9200+240.75</f>
        <v>9440.75</v>
      </c>
      <c r="O53" s="40">
        <v>0</v>
      </c>
      <c r="P53" s="40">
        <v>0</v>
      </c>
      <c r="Q53" s="61">
        <v>0</v>
      </c>
      <c r="R53" s="40">
        <f>54584.38+687-500-846.15</f>
        <v>53925.229999999996</v>
      </c>
      <c r="S53" s="40">
        <f>SUM(C53:R53)</f>
        <v>138359.96</v>
      </c>
      <c r="U53" s="41">
        <v>98832.239999999991</v>
      </c>
      <c r="V53" s="26">
        <f t="shared" si="0"/>
        <v>0.39994762842570403</v>
      </c>
      <c r="X53" s="220"/>
      <c r="Y53" s="220"/>
      <c r="Z53" s="220"/>
      <c r="AA53" s="220"/>
      <c r="AB53" s="220"/>
      <c r="AC53" s="220"/>
      <c r="AD53" s="220"/>
      <c r="AE53" s="220"/>
    </row>
    <row r="54" spans="1:31" x14ac:dyDescent="0.45">
      <c r="A54" s="38" t="s">
        <v>1505</v>
      </c>
      <c r="B54" s="38"/>
      <c r="C54" s="62">
        <v>1000</v>
      </c>
      <c r="D54" s="62">
        <v>1200</v>
      </c>
      <c r="E54" s="62">
        <v>200</v>
      </c>
      <c r="F54" s="62">
        <v>1500</v>
      </c>
      <c r="G54" s="62">
        <v>600</v>
      </c>
      <c r="H54" s="62"/>
      <c r="I54" s="62">
        <v>1000</v>
      </c>
      <c r="J54" s="62">
        <v>900</v>
      </c>
      <c r="K54" s="62">
        <v>1200</v>
      </c>
      <c r="L54" s="62">
        <v>2000</v>
      </c>
      <c r="M54" s="62">
        <v>800</v>
      </c>
      <c r="N54" s="40">
        <v>0</v>
      </c>
      <c r="O54" s="62">
        <v>0</v>
      </c>
      <c r="P54" s="62">
        <v>0</v>
      </c>
      <c r="Q54" s="40">
        <v>0</v>
      </c>
      <c r="R54" s="62">
        <v>2600</v>
      </c>
      <c r="S54" s="63">
        <f>SUM(C54:R54)</f>
        <v>13000</v>
      </c>
      <c r="U54" s="64">
        <v>10300</v>
      </c>
      <c r="V54" s="26">
        <f t="shared" si="0"/>
        <v>0.26213592233009708</v>
      </c>
      <c r="X54" s="220"/>
      <c r="Y54" s="220"/>
      <c r="Z54" s="220"/>
      <c r="AA54" s="220"/>
      <c r="AB54" s="220"/>
      <c r="AC54" s="220"/>
      <c r="AD54" s="220"/>
      <c r="AE54" s="220"/>
    </row>
    <row r="55" spans="1:31" x14ac:dyDescent="0.45">
      <c r="A55" s="38" t="s">
        <v>1506</v>
      </c>
      <c r="B55" s="38"/>
      <c r="C55" s="40">
        <v>3323.3</v>
      </c>
      <c r="D55" s="40">
        <v>2408.3000000000002</v>
      </c>
      <c r="E55" s="40">
        <v>668</v>
      </c>
      <c r="F55" s="40">
        <v>3942.3</v>
      </c>
      <c r="G55" s="40">
        <v>1638.3</v>
      </c>
      <c r="H55" s="57">
        <v>0</v>
      </c>
      <c r="I55" s="40">
        <v>2029.3</v>
      </c>
      <c r="J55" s="40">
        <v>2577.3000000000002</v>
      </c>
      <c r="K55" s="40">
        <v>3250.3</v>
      </c>
      <c r="L55" s="40">
        <v>1690.3</v>
      </c>
      <c r="M55" s="40">
        <v>1390.3</v>
      </c>
      <c r="N55" s="40">
        <v>1026.3</v>
      </c>
      <c r="O55" s="40">
        <v>541</v>
      </c>
      <c r="P55" s="40">
        <v>816</v>
      </c>
      <c r="Q55" s="65">
        <v>0</v>
      </c>
      <c r="R55" s="61">
        <f>4753</f>
        <v>4753</v>
      </c>
      <c r="S55" s="40">
        <f>SUM(C55:R55)</f>
        <v>30053.999999999996</v>
      </c>
      <c r="U55" s="41">
        <v>27375</v>
      </c>
      <c r="V55" s="26">
        <f t="shared" si="0"/>
        <v>9.786301369863E-2</v>
      </c>
      <c r="X55" s="220"/>
      <c r="Y55" s="220"/>
      <c r="Z55" s="220"/>
      <c r="AA55" s="220"/>
      <c r="AB55" s="220"/>
      <c r="AC55" s="220"/>
      <c r="AD55" s="220"/>
      <c r="AE55" s="220"/>
    </row>
    <row r="56" spans="1:31" x14ac:dyDescent="0.45">
      <c r="A56" s="38" t="s">
        <v>1507</v>
      </c>
      <c r="B56" s="38"/>
      <c r="C56" s="40">
        <v>660</v>
      </c>
      <c r="D56" s="40">
        <v>660</v>
      </c>
      <c r="E56" s="40">
        <v>0</v>
      </c>
      <c r="F56" s="40">
        <v>0</v>
      </c>
      <c r="G56" s="40">
        <v>330</v>
      </c>
      <c r="H56" s="40">
        <v>0</v>
      </c>
      <c r="I56" s="40">
        <v>1700</v>
      </c>
      <c r="J56" s="40">
        <v>400</v>
      </c>
      <c r="K56" s="40">
        <v>0</v>
      </c>
      <c r="L56" s="40">
        <v>1530</v>
      </c>
      <c r="M56" s="40">
        <v>1330</v>
      </c>
      <c r="N56" s="40">
        <v>600</v>
      </c>
      <c r="O56" s="40">
        <v>0</v>
      </c>
      <c r="P56" s="40">
        <v>0</v>
      </c>
      <c r="Q56" s="40">
        <v>0</v>
      </c>
      <c r="R56" s="40">
        <v>12087.65</v>
      </c>
      <c r="S56" s="40">
        <f>SUM(C56:R56)</f>
        <v>19297.650000000001</v>
      </c>
      <c r="U56" s="41">
        <v>19402.28</v>
      </c>
      <c r="V56" s="26">
        <f t="shared" si="0"/>
        <v>-5.3926651919257631E-3</v>
      </c>
      <c r="X56" s="220"/>
      <c r="Y56" s="220"/>
      <c r="Z56" s="220"/>
      <c r="AA56" s="220"/>
      <c r="AB56" s="220"/>
      <c r="AC56" s="220"/>
      <c r="AD56" s="220"/>
      <c r="AE56" s="220"/>
    </row>
    <row r="57" spans="1:31" x14ac:dyDescent="0.45">
      <c r="A57" s="38" t="s">
        <v>1508</v>
      </c>
      <c r="B57" s="38"/>
      <c r="C57" s="40">
        <v>3780</v>
      </c>
      <c r="D57" s="40">
        <v>3700</v>
      </c>
      <c r="E57" s="40">
        <v>0</v>
      </c>
      <c r="F57" s="40">
        <v>3700</v>
      </c>
      <c r="G57" s="40">
        <v>0</v>
      </c>
      <c r="H57" s="40">
        <v>0</v>
      </c>
      <c r="I57" s="40">
        <v>2240</v>
      </c>
      <c r="J57" s="40">
        <v>2240</v>
      </c>
      <c r="K57" s="40">
        <v>2510</v>
      </c>
      <c r="L57" s="40">
        <v>7340</v>
      </c>
      <c r="M57" s="40">
        <v>2240</v>
      </c>
      <c r="N57" s="40">
        <v>3700</v>
      </c>
      <c r="O57" s="40">
        <v>0</v>
      </c>
      <c r="P57" s="40">
        <v>0</v>
      </c>
      <c r="Q57" s="40">
        <v>0</v>
      </c>
      <c r="R57" s="40">
        <v>3950</v>
      </c>
      <c r="S57" s="40">
        <f>SUM(C57:R57)</f>
        <v>35400</v>
      </c>
      <c r="U57" s="41">
        <v>23611</v>
      </c>
      <c r="V57" s="26">
        <f t="shared" si="0"/>
        <v>0.49930117318199146</v>
      </c>
      <c r="X57" s="216" t="s">
        <v>1509</v>
      </c>
      <c r="Y57" s="216"/>
      <c r="Z57" s="216"/>
      <c r="AA57" s="216"/>
      <c r="AB57" s="216"/>
      <c r="AC57" s="216"/>
      <c r="AD57" s="216"/>
      <c r="AE57" s="216"/>
    </row>
    <row r="58" spans="1:31" x14ac:dyDescent="0.45">
      <c r="A58" s="38" t="s">
        <v>1510</v>
      </c>
      <c r="B58" s="38"/>
      <c r="C58" s="40">
        <v>0</v>
      </c>
      <c r="D58" s="40">
        <v>0</v>
      </c>
      <c r="E58" s="40">
        <v>0</v>
      </c>
      <c r="F58" s="40">
        <v>0</v>
      </c>
      <c r="G58" s="40">
        <v>0</v>
      </c>
      <c r="H58" s="40">
        <v>0</v>
      </c>
      <c r="I58" s="40">
        <v>0</v>
      </c>
      <c r="J58" s="40">
        <v>0</v>
      </c>
      <c r="K58" s="40">
        <v>0</v>
      </c>
      <c r="L58" s="40">
        <v>0</v>
      </c>
      <c r="M58" s="40">
        <v>0</v>
      </c>
      <c r="N58" s="40">
        <v>0</v>
      </c>
      <c r="O58" s="40">
        <v>0</v>
      </c>
      <c r="P58" s="40">
        <v>0</v>
      </c>
      <c r="Q58" s="40">
        <v>0</v>
      </c>
      <c r="R58" s="39">
        <v>90725</v>
      </c>
      <c r="S58" s="40">
        <f t="shared" ref="S58:S59" si="14">SUM(C58:R58)</f>
        <v>90725</v>
      </c>
      <c r="U58" s="41">
        <v>85944.44</v>
      </c>
      <c r="V58" s="26">
        <f t="shared" si="0"/>
        <v>5.5623842566197387E-2</v>
      </c>
    </row>
    <row r="59" spans="1:31" x14ac:dyDescent="0.45">
      <c r="A59" s="38" t="s">
        <v>1511</v>
      </c>
      <c r="B59" s="38"/>
      <c r="C59" s="40">
        <v>0</v>
      </c>
      <c r="D59" s="40">
        <v>0</v>
      </c>
      <c r="E59" s="40">
        <v>0</v>
      </c>
      <c r="F59" s="40">
        <v>0</v>
      </c>
      <c r="G59" s="40">
        <v>0</v>
      </c>
      <c r="H59" s="40">
        <v>0</v>
      </c>
      <c r="I59" s="40">
        <v>0</v>
      </c>
      <c r="J59" s="40">
        <v>0</v>
      </c>
      <c r="K59" s="40">
        <v>0</v>
      </c>
      <c r="L59" s="40">
        <v>0</v>
      </c>
      <c r="M59" s="40">
        <v>0</v>
      </c>
      <c r="N59" s="40">
        <v>0</v>
      </c>
      <c r="O59" s="40">
        <v>0</v>
      </c>
      <c r="P59" s="40">
        <v>0</v>
      </c>
      <c r="Q59" s="40">
        <v>0</v>
      </c>
      <c r="R59" s="40">
        <v>0</v>
      </c>
      <c r="S59" s="40">
        <f t="shared" si="14"/>
        <v>0</v>
      </c>
      <c r="U59" s="41">
        <v>0</v>
      </c>
    </row>
    <row r="60" spans="1:31" x14ac:dyDescent="0.45">
      <c r="A60" s="38" t="s">
        <v>1512</v>
      </c>
      <c r="B60" s="38"/>
      <c r="C60" s="40">
        <v>0</v>
      </c>
      <c r="D60" s="40">
        <v>0</v>
      </c>
      <c r="E60" s="40">
        <v>0</v>
      </c>
      <c r="F60" s="40">
        <v>0</v>
      </c>
      <c r="G60" s="40">
        <v>0</v>
      </c>
      <c r="H60" s="40">
        <v>0</v>
      </c>
      <c r="I60" s="40">
        <v>0</v>
      </c>
      <c r="J60" s="40">
        <v>0</v>
      </c>
      <c r="K60" s="40">
        <v>0</v>
      </c>
      <c r="L60" s="40">
        <v>0</v>
      </c>
      <c r="M60" s="40">
        <v>0</v>
      </c>
      <c r="N60" s="40">
        <v>0</v>
      </c>
      <c r="O60" s="40">
        <v>0</v>
      </c>
      <c r="P60" s="40">
        <v>0</v>
      </c>
      <c r="Q60" s="40">
        <v>0</v>
      </c>
      <c r="R60" s="40">
        <v>6516</v>
      </c>
      <c r="S60" s="40">
        <f>SUM(C60:R60)</f>
        <v>6516</v>
      </c>
      <c r="U60" s="41">
        <v>6360</v>
      </c>
      <c r="V60" s="26">
        <f t="shared" si="0"/>
        <v>2.4528301886792454E-2</v>
      </c>
    </row>
    <row r="61" spans="1:31" x14ac:dyDescent="0.45">
      <c r="A61" s="38" t="s">
        <v>986</v>
      </c>
      <c r="B61" s="38"/>
      <c r="C61" s="40">
        <v>0</v>
      </c>
      <c r="D61" s="40">
        <v>0</v>
      </c>
      <c r="E61" s="40">
        <v>0</v>
      </c>
      <c r="F61" s="40">
        <v>0</v>
      </c>
      <c r="G61" s="40">
        <v>0</v>
      </c>
      <c r="H61" s="40">
        <v>0</v>
      </c>
      <c r="I61" s="40">
        <v>0</v>
      </c>
      <c r="J61" s="40">
        <v>0</v>
      </c>
      <c r="K61" s="40">
        <v>0</v>
      </c>
      <c r="L61" s="40">
        <v>1682.21</v>
      </c>
      <c r="M61" s="40">
        <v>0</v>
      </c>
      <c r="N61" s="40">
        <v>0</v>
      </c>
      <c r="O61" s="40">
        <v>0</v>
      </c>
      <c r="P61" s="40">
        <v>0</v>
      </c>
      <c r="Q61" s="40">
        <v>0</v>
      </c>
      <c r="R61" s="40">
        <f>1177.5+1532.46</f>
        <v>2709.96</v>
      </c>
      <c r="S61" s="40">
        <f t="shared" ref="S61" si="15">SUM(C61:R61)</f>
        <v>4392.17</v>
      </c>
      <c r="U61" s="41">
        <v>3263.1399999999994</v>
      </c>
      <c r="V61" s="26">
        <f t="shared" si="0"/>
        <v>0.34599496190785589</v>
      </c>
      <c r="X61" s="216" t="s">
        <v>1513</v>
      </c>
      <c r="Y61" s="216"/>
      <c r="Z61" s="216"/>
      <c r="AA61" s="216"/>
      <c r="AB61" s="216"/>
      <c r="AC61" s="216"/>
      <c r="AD61" s="216"/>
      <c r="AE61" s="216"/>
    </row>
    <row r="62" spans="1:31" x14ac:dyDescent="0.45">
      <c r="A62" s="38"/>
      <c r="B62" s="38"/>
      <c r="C62" s="52"/>
      <c r="D62" s="52"/>
      <c r="E62" s="52"/>
      <c r="F62" s="52"/>
      <c r="G62" s="52"/>
      <c r="H62" s="52"/>
      <c r="I62" s="52"/>
      <c r="J62" s="52"/>
      <c r="K62" s="52"/>
      <c r="L62" s="52"/>
      <c r="M62" s="52"/>
      <c r="N62" s="52"/>
      <c r="O62" s="52"/>
      <c r="P62" s="52"/>
      <c r="Q62" s="52"/>
      <c r="R62" s="52"/>
      <c r="S62" s="52"/>
      <c r="U62" s="56"/>
    </row>
    <row r="63" spans="1:31" x14ac:dyDescent="0.45">
      <c r="A63" s="38" t="s">
        <v>1514</v>
      </c>
      <c r="B63" s="38"/>
      <c r="C63" s="40">
        <v>826.7</v>
      </c>
      <c r="D63" s="40">
        <v>613.5</v>
      </c>
      <c r="E63" s="40">
        <v>0</v>
      </c>
      <c r="F63" s="40">
        <v>92.2</v>
      </c>
      <c r="G63" s="40">
        <v>0</v>
      </c>
      <c r="H63" s="40">
        <v>0</v>
      </c>
      <c r="I63" s="40">
        <v>242.1</v>
      </c>
      <c r="J63" s="40">
        <v>285.7</v>
      </c>
      <c r="K63" s="40">
        <v>232.18</v>
      </c>
      <c r="L63" s="40">
        <v>728.67</v>
      </c>
      <c r="M63" s="40">
        <v>191.55</v>
      </c>
      <c r="N63" s="40">
        <v>789.7</v>
      </c>
      <c r="O63" s="40">
        <v>0</v>
      </c>
      <c r="P63" s="40">
        <v>0</v>
      </c>
      <c r="Q63" s="40">
        <v>0</v>
      </c>
      <c r="R63" s="40">
        <v>1343.5</v>
      </c>
      <c r="S63" s="40">
        <f t="shared" ref="S63:S65" si="16">SUM(C63:R63)</f>
        <v>5345.8</v>
      </c>
      <c r="U63" s="41">
        <v>5298.63</v>
      </c>
      <c r="V63" s="26">
        <f t="shared" si="0"/>
        <v>8.9023011608661239E-3</v>
      </c>
    </row>
    <row r="64" spans="1:31" x14ac:dyDescent="0.45">
      <c r="A64" s="38" t="s">
        <v>1515</v>
      </c>
      <c r="B64" s="38"/>
      <c r="C64" s="40">
        <v>0</v>
      </c>
      <c r="D64" s="40">
        <v>0</v>
      </c>
      <c r="E64" s="40">
        <v>0</v>
      </c>
      <c r="F64" s="40">
        <v>0</v>
      </c>
      <c r="G64" s="40">
        <v>0</v>
      </c>
      <c r="H64" s="40">
        <v>0</v>
      </c>
      <c r="I64" s="40">
        <v>0</v>
      </c>
      <c r="J64" s="40">
        <v>0</v>
      </c>
      <c r="K64" s="40">
        <v>0</v>
      </c>
      <c r="L64" s="40">
        <v>0</v>
      </c>
      <c r="M64" s="40">
        <v>0</v>
      </c>
      <c r="N64" s="40">
        <v>0</v>
      </c>
      <c r="O64" s="40">
        <v>0</v>
      </c>
      <c r="P64" s="40">
        <v>0</v>
      </c>
      <c r="Q64" s="40">
        <v>0</v>
      </c>
      <c r="R64" s="40">
        <v>0</v>
      </c>
      <c r="S64" s="40">
        <f t="shared" si="16"/>
        <v>0</v>
      </c>
      <c r="U64" s="41">
        <v>0</v>
      </c>
    </row>
    <row r="65" spans="1:31" x14ac:dyDescent="0.45">
      <c r="A65" s="38" t="s">
        <v>1516</v>
      </c>
      <c r="B65" s="38"/>
      <c r="C65" s="40">
        <v>0</v>
      </c>
      <c r="D65" s="40">
        <v>0</v>
      </c>
      <c r="E65" s="40">
        <v>0</v>
      </c>
      <c r="F65" s="40">
        <v>0</v>
      </c>
      <c r="G65" s="40">
        <v>0</v>
      </c>
      <c r="H65" s="40">
        <v>0</v>
      </c>
      <c r="I65" s="40">
        <v>0</v>
      </c>
      <c r="J65" s="40">
        <v>0</v>
      </c>
      <c r="K65" s="40">
        <v>0</v>
      </c>
      <c r="L65" s="40">
        <v>0</v>
      </c>
      <c r="M65" s="40">
        <v>0</v>
      </c>
      <c r="N65" s="40">
        <v>0</v>
      </c>
      <c r="O65" s="40">
        <v>0</v>
      </c>
      <c r="P65" s="40">
        <v>0</v>
      </c>
      <c r="Q65" s="40">
        <v>0</v>
      </c>
      <c r="R65" s="40">
        <v>3696.34</v>
      </c>
      <c r="S65" s="40">
        <f t="shared" si="16"/>
        <v>3696.34</v>
      </c>
      <c r="U65" s="41">
        <v>1563.27</v>
      </c>
      <c r="V65" s="26">
        <f t="shared" si="0"/>
        <v>1.3644923781560447</v>
      </c>
    </row>
    <row r="66" spans="1:31" x14ac:dyDescent="0.45">
      <c r="A66" s="38"/>
      <c r="B66" s="38"/>
      <c r="C66" s="52"/>
      <c r="D66" s="52"/>
      <c r="E66" s="52"/>
      <c r="F66" s="52"/>
      <c r="G66" s="52"/>
      <c r="H66" s="52"/>
      <c r="I66" s="52"/>
      <c r="J66" s="52"/>
      <c r="K66" s="52"/>
      <c r="L66" s="52"/>
      <c r="M66" s="52"/>
      <c r="N66" s="52"/>
      <c r="O66" s="52"/>
      <c r="P66" s="52"/>
      <c r="Q66" s="52"/>
      <c r="R66" s="52"/>
      <c r="S66" s="52"/>
      <c r="U66" s="56"/>
    </row>
    <row r="67" spans="1:31" x14ac:dyDescent="0.45">
      <c r="A67" s="38" t="s">
        <v>1517</v>
      </c>
      <c r="B67" s="38"/>
      <c r="C67" s="40">
        <v>0</v>
      </c>
      <c r="D67" s="40">
        <v>0</v>
      </c>
      <c r="E67" s="40">
        <v>0</v>
      </c>
      <c r="F67" s="40">
        <v>0</v>
      </c>
      <c r="G67" s="40">
        <v>0</v>
      </c>
      <c r="H67" s="40">
        <v>0</v>
      </c>
      <c r="I67" s="40">
        <v>0</v>
      </c>
      <c r="J67" s="40">
        <v>0</v>
      </c>
      <c r="K67" s="40">
        <v>0</v>
      </c>
      <c r="L67" s="40">
        <v>0</v>
      </c>
      <c r="M67" s="40">
        <v>0</v>
      </c>
      <c r="N67" s="40">
        <v>0</v>
      </c>
      <c r="O67" s="40">
        <v>0</v>
      </c>
      <c r="P67" s="40">
        <v>0</v>
      </c>
      <c r="Q67" s="40">
        <v>0</v>
      </c>
      <c r="R67" s="40">
        <v>0</v>
      </c>
      <c r="S67" s="40">
        <f t="shared" ref="S67:S71" si="17">SUM(C67:R67)</f>
        <v>0</v>
      </c>
      <c r="U67" s="41">
        <v>0</v>
      </c>
    </row>
    <row r="68" spans="1:31" x14ac:dyDescent="0.45">
      <c r="A68" s="38" t="s">
        <v>750</v>
      </c>
      <c r="B68" s="38"/>
      <c r="C68" s="40">
        <v>0</v>
      </c>
      <c r="D68" s="40">
        <v>0</v>
      </c>
      <c r="E68" s="40">
        <v>0</v>
      </c>
      <c r="F68" s="40">
        <v>0</v>
      </c>
      <c r="G68" s="40">
        <v>0</v>
      </c>
      <c r="H68" s="40">
        <v>0</v>
      </c>
      <c r="I68" s="40">
        <v>0</v>
      </c>
      <c r="J68" s="40">
        <v>0</v>
      </c>
      <c r="K68" s="40">
        <v>0</v>
      </c>
      <c r="L68" s="40">
        <v>0</v>
      </c>
      <c r="M68" s="40">
        <v>0</v>
      </c>
      <c r="N68" s="40">
        <v>0</v>
      </c>
      <c r="O68" s="40">
        <v>0</v>
      </c>
      <c r="P68" s="40">
        <v>0</v>
      </c>
      <c r="Q68" s="40">
        <v>0</v>
      </c>
      <c r="R68" s="40">
        <v>854.32</v>
      </c>
      <c r="S68" s="40">
        <f t="shared" si="17"/>
        <v>854.32</v>
      </c>
      <c r="U68" s="41">
        <v>1488.24</v>
      </c>
      <c r="V68" s="26">
        <f t="shared" si="0"/>
        <v>-0.42595280331129387</v>
      </c>
    </row>
    <row r="69" spans="1:31" x14ac:dyDescent="0.45">
      <c r="A69" s="38" t="s">
        <v>748</v>
      </c>
      <c r="B69" s="38"/>
      <c r="C69" s="40">
        <v>0</v>
      </c>
      <c r="D69" s="40">
        <v>0</v>
      </c>
      <c r="E69" s="40">
        <v>0</v>
      </c>
      <c r="F69" s="40">
        <v>0</v>
      </c>
      <c r="G69" s="40">
        <v>0</v>
      </c>
      <c r="H69" s="40">
        <v>0</v>
      </c>
      <c r="I69" s="40">
        <v>0</v>
      </c>
      <c r="J69" s="40">
        <v>0</v>
      </c>
      <c r="K69" s="40">
        <v>0</v>
      </c>
      <c r="L69" s="40">
        <v>0</v>
      </c>
      <c r="M69" s="40">
        <v>0</v>
      </c>
      <c r="N69" s="40">
        <v>0</v>
      </c>
      <c r="O69" s="40">
        <v>0</v>
      </c>
      <c r="P69" s="40">
        <v>0</v>
      </c>
      <c r="Q69" s="40">
        <v>0</v>
      </c>
      <c r="R69" s="40">
        <v>1051</v>
      </c>
      <c r="S69" s="40">
        <f t="shared" si="17"/>
        <v>1051</v>
      </c>
      <c r="U69" s="41">
        <v>0</v>
      </c>
    </row>
    <row r="70" spans="1:31" x14ac:dyDescent="0.45">
      <c r="A70" s="38" t="s">
        <v>1518</v>
      </c>
      <c r="B70" s="38"/>
      <c r="C70" s="40">
        <v>0</v>
      </c>
      <c r="D70" s="40">
        <v>0</v>
      </c>
      <c r="E70" s="40">
        <v>0</v>
      </c>
      <c r="F70" s="40">
        <v>0</v>
      </c>
      <c r="G70" s="40">
        <v>0</v>
      </c>
      <c r="H70" s="40">
        <v>0</v>
      </c>
      <c r="I70" s="40">
        <v>0</v>
      </c>
      <c r="J70" s="40">
        <v>0</v>
      </c>
      <c r="K70" s="40">
        <v>0</v>
      </c>
      <c r="L70" s="40">
        <v>0</v>
      </c>
      <c r="M70" s="40">
        <v>0</v>
      </c>
      <c r="N70" s="40">
        <v>0</v>
      </c>
      <c r="O70" s="40">
        <v>0</v>
      </c>
      <c r="P70" s="40">
        <v>0</v>
      </c>
      <c r="Q70" s="40">
        <v>0</v>
      </c>
      <c r="R70" s="40">
        <v>44.54</v>
      </c>
      <c r="S70" s="40">
        <f t="shared" si="17"/>
        <v>44.54</v>
      </c>
      <c r="U70" s="41">
        <v>207</v>
      </c>
      <c r="V70" s="26">
        <f t="shared" ref="V70:V80" si="18">(S70-U70)/U70</f>
        <v>-0.78483091787439618</v>
      </c>
    </row>
    <row r="71" spans="1:31" x14ac:dyDescent="0.45">
      <c r="A71" s="38" t="s">
        <v>1064</v>
      </c>
      <c r="B71" s="38"/>
      <c r="C71" s="40">
        <v>0</v>
      </c>
      <c r="D71" s="40">
        <v>0</v>
      </c>
      <c r="E71" s="40">
        <v>0</v>
      </c>
      <c r="F71" s="40">
        <v>0</v>
      </c>
      <c r="G71" s="40">
        <v>0</v>
      </c>
      <c r="H71" s="40">
        <v>0</v>
      </c>
      <c r="I71" s="40">
        <v>0</v>
      </c>
      <c r="J71" s="40">
        <v>0</v>
      </c>
      <c r="K71" s="40">
        <v>0</v>
      </c>
      <c r="L71" s="40">
        <v>0</v>
      </c>
      <c r="M71" s="40">
        <v>0</v>
      </c>
      <c r="N71" s="40">
        <v>0</v>
      </c>
      <c r="O71" s="40">
        <v>0</v>
      </c>
      <c r="P71" s="40">
        <v>0</v>
      </c>
      <c r="Q71" s="40">
        <v>0</v>
      </c>
      <c r="R71" s="40">
        <v>538.92999999999995</v>
      </c>
      <c r="S71" s="40">
        <f t="shared" si="17"/>
        <v>538.92999999999995</v>
      </c>
      <c r="U71" s="41">
        <v>957.05</v>
      </c>
      <c r="V71" s="26">
        <f t="shared" si="18"/>
        <v>-0.43688417533044255</v>
      </c>
    </row>
    <row r="72" spans="1:31" x14ac:dyDescent="0.45">
      <c r="A72" s="35"/>
      <c r="B72" s="35"/>
      <c r="C72" s="52"/>
      <c r="D72" s="52"/>
      <c r="E72" s="52"/>
      <c r="F72" s="52"/>
      <c r="G72" s="52"/>
      <c r="H72" s="52"/>
      <c r="I72" s="52"/>
      <c r="J72" s="52"/>
      <c r="K72" s="52"/>
      <c r="L72" s="52"/>
      <c r="M72" s="52"/>
      <c r="N72" s="52"/>
      <c r="O72" s="52"/>
      <c r="P72" s="52"/>
      <c r="Q72" s="52"/>
      <c r="R72" s="52"/>
      <c r="S72" s="52"/>
      <c r="U72" s="19"/>
    </row>
    <row r="73" spans="1:31" x14ac:dyDescent="0.45">
      <c r="A73" s="38" t="s">
        <v>718</v>
      </c>
      <c r="B73" s="38"/>
      <c r="C73" s="40">
        <v>1300.47</v>
      </c>
      <c r="D73" s="40">
        <v>451.26</v>
      </c>
      <c r="E73" s="40">
        <v>148.93</v>
      </c>
      <c r="F73" s="40">
        <v>2062.35</v>
      </c>
      <c r="G73" s="40">
        <v>685.5</v>
      </c>
      <c r="H73" s="40">
        <v>339.05</v>
      </c>
      <c r="I73" s="40">
        <v>1995.03</v>
      </c>
      <c r="J73" s="40">
        <v>3635.7</v>
      </c>
      <c r="K73" s="40">
        <v>11363.08</v>
      </c>
      <c r="L73" s="40">
        <v>18051.13</v>
      </c>
      <c r="M73" s="40">
        <v>10922.11</v>
      </c>
      <c r="N73" s="40">
        <v>12081.97</v>
      </c>
      <c r="O73" s="40">
        <v>4577.57</v>
      </c>
      <c r="P73" s="40">
        <v>949.49</v>
      </c>
      <c r="Q73" s="40">
        <v>0</v>
      </c>
      <c r="R73" s="40">
        <v>13353.92</v>
      </c>
      <c r="S73" s="40">
        <f t="shared" ref="S73:S75" si="19">SUM(C73:R73)</f>
        <v>81917.56</v>
      </c>
      <c r="U73" s="41">
        <v>74650.760000000009</v>
      </c>
      <c r="V73" s="26">
        <f t="shared" si="18"/>
        <v>9.7343952024064956E-2</v>
      </c>
      <c r="X73" s="216" t="s">
        <v>1519</v>
      </c>
      <c r="Y73" s="216"/>
      <c r="Z73" s="216"/>
      <c r="AA73" s="216"/>
      <c r="AB73" s="216"/>
      <c r="AC73" s="216"/>
      <c r="AD73" s="216"/>
      <c r="AE73" s="216"/>
    </row>
    <row r="74" spans="1:31" x14ac:dyDescent="0.45">
      <c r="A74" s="38" t="s">
        <v>756</v>
      </c>
      <c r="B74" s="38"/>
      <c r="C74" s="40">
        <v>0</v>
      </c>
      <c r="D74" s="40">
        <v>0</v>
      </c>
      <c r="E74" s="40">
        <v>0</v>
      </c>
      <c r="F74" s="40">
        <v>0</v>
      </c>
      <c r="G74" s="40">
        <v>0</v>
      </c>
      <c r="H74" s="40">
        <v>0</v>
      </c>
      <c r="I74" s="40">
        <v>0</v>
      </c>
      <c r="J74" s="40">
        <v>0</v>
      </c>
      <c r="K74" s="40">
        <v>0</v>
      </c>
      <c r="L74" s="40">
        <v>0</v>
      </c>
      <c r="M74" s="40">
        <v>0</v>
      </c>
      <c r="N74" s="40">
        <v>0</v>
      </c>
      <c r="O74" s="40">
        <v>0</v>
      </c>
      <c r="P74" s="40">
        <v>0</v>
      </c>
      <c r="Q74" s="40">
        <v>0</v>
      </c>
      <c r="R74" s="40">
        <v>4109.59</v>
      </c>
      <c r="S74" s="40">
        <f t="shared" si="19"/>
        <v>4109.59</v>
      </c>
      <c r="U74" s="41">
        <v>0</v>
      </c>
    </row>
    <row r="75" spans="1:31" x14ac:dyDescent="0.45">
      <c r="A75" s="38" t="s">
        <v>1520</v>
      </c>
      <c r="B75" s="38"/>
      <c r="C75" s="40">
        <v>0</v>
      </c>
      <c r="D75" s="40">
        <v>0</v>
      </c>
      <c r="E75" s="40">
        <v>0</v>
      </c>
      <c r="F75" s="40">
        <v>0</v>
      </c>
      <c r="G75" s="40">
        <v>0</v>
      </c>
      <c r="H75" s="40">
        <v>0</v>
      </c>
      <c r="I75" s="40">
        <v>0</v>
      </c>
      <c r="J75" s="40">
        <v>0</v>
      </c>
      <c r="K75" s="40">
        <v>0</v>
      </c>
      <c r="L75" s="40">
        <v>0</v>
      </c>
      <c r="M75" s="40">
        <v>0</v>
      </c>
      <c r="N75" s="40">
        <v>0</v>
      </c>
      <c r="O75" s="40">
        <v>0</v>
      </c>
      <c r="P75" s="40">
        <v>0</v>
      </c>
      <c r="Q75" s="40">
        <v>0</v>
      </c>
      <c r="R75" s="40">
        <v>-72.06</v>
      </c>
      <c r="S75" s="40">
        <f t="shared" si="19"/>
        <v>-72.06</v>
      </c>
      <c r="U75" s="66">
        <v>0</v>
      </c>
      <c r="X75" s="217" t="s">
        <v>1521</v>
      </c>
      <c r="Y75" s="217"/>
      <c r="Z75" s="217"/>
      <c r="AA75" s="217"/>
      <c r="AB75" s="217"/>
      <c r="AC75" s="217"/>
      <c r="AD75" s="217"/>
      <c r="AE75" s="217"/>
    </row>
    <row r="76" spans="1:31" x14ac:dyDescent="0.45">
      <c r="A76" s="35"/>
      <c r="B76" s="35"/>
      <c r="C76" s="34"/>
      <c r="D76" s="34"/>
      <c r="E76" s="34"/>
      <c r="F76" s="34"/>
      <c r="G76" s="34"/>
      <c r="H76" s="34"/>
      <c r="I76" s="34"/>
      <c r="J76" s="34"/>
      <c r="K76" s="34"/>
      <c r="L76" s="34"/>
      <c r="M76" s="34"/>
      <c r="N76" s="34"/>
      <c r="O76" s="34"/>
      <c r="P76" s="34"/>
      <c r="Q76" s="34"/>
      <c r="R76" s="34"/>
      <c r="S76" s="34"/>
      <c r="X76" s="217"/>
      <c r="Y76" s="217"/>
      <c r="Z76" s="217"/>
      <c r="AA76" s="217"/>
      <c r="AB76" s="217"/>
      <c r="AC76" s="217"/>
      <c r="AD76" s="217"/>
      <c r="AE76" s="217"/>
    </row>
    <row r="77" spans="1:31" ht="15" customHeight="1" x14ac:dyDescent="0.45">
      <c r="A77" s="67" t="s">
        <v>1452</v>
      </c>
      <c r="B77" s="67"/>
      <c r="C77" s="43">
        <f>SUM(C26:C75)</f>
        <v>61346.59</v>
      </c>
      <c r="D77" s="43">
        <f t="shared" ref="D77:S77" si="20">SUM(D26:D75)</f>
        <v>64311.87</v>
      </c>
      <c r="E77" s="43">
        <f t="shared" si="20"/>
        <v>13507.35</v>
      </c>
      <c r="F77" s="43">
        <f t="shared" si="20"/>
        <v>85496.06</v>
      </c>
      <c r="G77" s="43">
        <f t="shared" si="20"/>
        <v>29525.289999999997</v>
      </c>
      <c r="H77" s="43">
        <f t="shared" si="20"/>
        <v>339.05</v>
      </c>
      <c r="I77" s="43">
        <f t="shared" si="20"/>
        <v>63080.97</v>
      </c>
      <c r="J77" s="43">
        <f t="shared" si="20"/>
        <v>56587.77</v>
      </c>
      <c r="K77" s="43">
        <f t="shared" si="20"/>
        <v>86707.56</v>
      </c>
      <c r="L77" s="43">
        <f t="shared" si="20"/>
        <v>107471.44000000002</v>
      </c>
      <c r="M77" s="43">
        <f t="shared" si="20"/>
        <v>56483.020000000004</v>
      </c>
      <c r="N77" s="43">
        <f t="shared" si="20"/>
        <v>58826.32</v>
      </c>
      <c r="O77" s="43">
        <f t="shared" si="20"/>
        <v>23455.735000000001</v>
      </c>
      <c r="P77" s="43">
        <f t="shared" si="20"/>
        <v>21146.91</v>
      </c>
      <c r="Q77" s="43">
        <f t="shared" si="20"/>
        <v>0</v>
      </c>
      <c r="R77" s="43">
        <f t="shared" si="20"/>
        <v>289227.43</v>
      </c>
      <c r="S77" s="43">
        <f t="shared" si="20"/>
        <v>1017513.3649999999</v>
      </c>
      <c r="U77" s="68">
        <v>841785.15000000014</v>
      </c>
      <c r="V77" s="26">
        <f t="shared" si="18"/>
        <v>0.20875661087630223</v>
      </c>
      <c r="X77" s="217"/>
      <c r="Y77" s="217"/>
      <c r="Z77" s="217"/>
      <c r="AA77" s="217"/>
      <c r="AB77" s="217"/>
      <c r="AC77" s="217"/>
      <c r="AD77" s="217"/>
      <c r="AE77" s="217"/>
    </row>
    <row r="78" spans="1:31" x14ac:dyDescent="0.45">
      <c r="A78" s="35"/>
      <c r="B78" s="35"/>
      <c r="C78" s="34"/>
      <c r="D78" s="34"/>
      <c r="E78" s="34"/>
      <c r="F78" s="34"/>
      <c r="G78" s="34"/>
      <c r="H78" s="34"/>
      <c r="I78" s="34"/>
      <c r="J78" s="34"/>
      <c r="K78" s="34"/>
      <c r="L78" s="34"/>
      <c r="M78" s="34"/>
      <c r="N78" s="34"/>
      <c r="O78" s="34"/>
      <c r="P78" s="34"/>
      <c r="Q78" s="34"/>
      <c r="R78" s="34"/>
      <c r="S78" s="34"/>
      <c r="U78" s="16"/>
      <c r="X78" s="217"/>
      <c r="Y78" s="217"/>
      <c r="Z78" s="217"/>
      <c r="AA78" s="217"/>
      <c r="AB78" s="217"/>
      <c r="AC78" s="217"/>
      <c r="AD78" s="217"/>
      <c r="AE78" s="217"/>
    </row>
    <row r="79" spans="1:31" x14ac:dyDescent="0.45">
      <c r="A79" s="35" t="s">
        <v>1522</v>
      </c>
      <c r="B79" s="35"/>
      <c r="C79" s="30">
        <f t="shared" ref="C79:R79" si="21">C17+C22-C77+C73</f>
        <v>51250.179999999993</v>
      </c>
      <c r="D79" s="30">
        <f t="shared" si="21"/>
        <v>96679.11</v>
      </c>
      <c r="E79" s="30">
        <f t="shared" si="21"/>
        <v>714.78999999999883</v>
      </c>
      <c r="F79" s="30">
        <f t="shared" si="21"/>
        <v>84448.81</v>
      </c>
      <c r="G79" s="30">
        <f t="shared" si="21"/>
        <v>41704.130000000005</v>
      </c>
      <c r="H79" s="30">
        <f t="shared" si="21"/>
        <v>0</v>
      </c>
      <c r="I79" s="30">
        <f t="shared" si="21"/>
        <v>59301.740000000005</v>
      </c>
      <c r="J79" s="30">
        <f t="shared" si="21"/>
        <v>50272.539999999986</v>
      </c>
      <c r="K79" s="30">
        <f t="shared" si="21"/>
        <v>92719.159999999989</v>
      </c>
      <c r="L79" s="30">
        <f t="shared" si="21"/>
        <v>102374.96999999996</v>
      </c>
      <c r="M79" s="30">
        <f t="shared" si="21"/>
        <v>31919.690000000002</v>
      </c>
      <c r="N79" s="30">
        <f t="shared" si="21"/>
        <v>15643.509999999993</v>
      </c>
      <c r="O79" s="30">
        <f t="shared" si="21"/>
        <v>8199.0149999999994</v>
      </c>
      <c r="P79" s="30">
        <f t="shared" si="21"/>
        <v>17836.460000000006</v>
      </c>
      <c r="Q79" s="30">
        <f t="shared" si="21"/>
        <v>0</v>
      </c>
      <c r="R79" s="30">
        <f t="shared" si="21"/>
        <v>-334818.02</v>
      </c>
      <c r="S79" s="30">
        <f>S17+S22-S77+S73+S74</f>
        <v>322355.67500000028</v>
      </c>
      <c r="U79" s="16">
        <v>500495.70999999996</v>
      </c>
      <c r="V79" s="26">
        <f t="shared" si="18"/>
        <v>-0.35592719665868805</v>
      </c>
      <c r="X79" s="217"/>
      <c r="Y79" s="217"/>
      <c r="Z79" s="217"/>
      <c r="AA79" s="217"/>
      <c r="AB79" s="217"/>
      <c r="AC79" s="217"/>
      <c r="AD79" s="217"/>
      <c r="AE79" s="217"/>
    </row>
    <row r="80" spans="1:31" ht="14.65" thickBot="1" x14ac:dyDescent="0.5">
      <c r="A80" s="67" t="s">
        <v>1523</v>
      </c>
      <c r="B80" s="67"/>
      <c r="C80" s="45">
        <f t="shared" ref="C80:S80" si="22">+C17-C77+C22</f>
        <v>49949.709999999992</v>
      </c>
      <c r="D80" s="45">
        <f t="shared" si="22"/>
        <v>96227.85000000002</v>
      </c>
      <c r="E80" s="45">
        <f t="shared" si="22"/>
        <v>565.85999999999876</v>
      </c>
      <c r="F80" s="45">
        <f t="shared" si="22"/>
        <v>82386.459999999992</v>
      </c>
      <c r="G80" s="45">
        <f t="shared" si="22"/>
        <v>41018.630000000005</v>
      </c>
      <c r="H80" s="45">
        <f t="shared" si="22"/>
        <v>-339.05</v>
      </c>
      <c r="I80" s="45">
        <f t="shared" si="22"/>
        <v>57306.710000000006</v>
      </c>
      <c r="J80" s="45">
        <f t="shared" si="22"/>
        <v>46636.839999999989</v>
      </c>
      <c r="K80" s="45">
        <f t="shared" si="22"/>
        <v>81356.079999999987</v>
      </c>
      <c r="L80" s="45">
        <f t="shared" si="22"/>
        <v>84323.839999999953</v>
      </c>
      <c r="M80" s="45">
        <f t="shared" si="22"/>
        <v>20997.58</v>
      </c>
      <c r="N80" s="45">
        <f t="shared" si="22"/>
        <v>3561.5399999999936</v>
      </c>
      <c r="O80" s="45">
        <f t="shared" si="22"/>
        <v>3621.4449999999997</v>
      </c>
      <c r="P80" s="45">
        <f t="shared" si="22"/>
        <v>16886.970000000005</v>
      </c>
      <c r="Q80" s="45">
        <f t="shared" si="22"/>
        <v>0</v>
      </c>
      <c r="R80" s="45">
        <f t="shared" si="22"/>
        <v>-348171.94</v>
      </c>
      <c r="S80" s="45">
        <f t="shared" si="22"/>
        <v>236328.5250000002</v>
      </c>
      <c r="U80" s="69">
        <v>425844.94999999995</v>
      </c>
      <c r="V80" s="26">
        <f t="shared" si="18"/>
        <v>-0.44503621564609319</v>
      </c>
      <c r="X80" s="70">
        <f>U80-S80</f>
        <v>189516.42499999976</v>
      </c>
    </row>
    <row r="81" spans="1:31" ht="14.65" thickTop="1" x14ac:dyDescent="0.45">
      <c r="U81" s="16"/>
    </row>
    <row r="82" spans="1:31" ht="17.25" x14ac:dyDescent="0.45">
      <c r="A82" s="71" t="s">
        <v>1524</v>
      </c>
      <c r="B82" s="32"/>
      <c r="C82" s="72">
        <f>C80/C3</f>
        <v>0.38485119809611962</v>
      </c>
      <c r="D82" s="72">
        <f t="shared" ref="D82:S82" si="23">D80/D3</f>
        <v>0.55765992253784002</v>
      </c>
      <c r="E82" s="72">
        <f t="shared" si="23"/>
        <v>3.6579098599889122E-2</v>
      </c>
      <c r="F82" s="72">
        <f t="shared" si="23"/>
        <v>0.42104940917161571</v>
      </c>
      <c r="G82" s="72">
        <f t="shared" si="23"/>
        <v>0.5819893121513553</v>
      </c>
      <c r="H82" s="72"/>
      <c r="I82" s="72">
        <f t="shared" si="23"/>
        <v>0.44664172156871829</v>
      </c>
      <c r="J82" s="72">
        <f t="shared" si="23"/>
        <v>0.40609967514178524</v>
      </c>
      <c r="K82" s="72">
        <f t="shared" si="23"/>
        <v>0.46122182505244547</v>
      </c>
      <c r="L82" s="72">
        <f t="shared" si="23"/>
        <v>0.34489588581913788</v>
      </c>
      <c r="M82" s="72">
        <f t="shared" si="23"/>
        <v>0.23538795396715895</v>
      </c>
      <c r="N82" s="72">
        <f t="shared" si="23"/>
        <v>4.072054256555166E-2</v>
      </c>
      <c r="O82" s="72">
        <f t="shared" si="23"/>
        <v>0.16786084604263724</v>
      </c>
      <c r="P82" s="72">
        <f t="shared" si="23"/>
        <v>0.31631998219748658</v>
      </c>
      <c r="Q82" s="72"/>
      <c r="R82" s="72">
        <f t="shared" si="23"/>
        <v>-13.588130931139077</v>
      </c>
      <c r="S82" s="72">
        <f t="shared" si="23"/>
        <v>0.15494462270322745</v>
      </c>
      <c r="U82" s="72">
        <f>U80/U3</f>
        <v>0.29080070343670339</v>
      </c>
      <c r="X82" s="218" t="s">
        <v>1525</v>
      </c>
      <c r="Y82" s="219"/>
      <c r="Z82" s="219"/>
      <c r="AA82" s="219"/>
      <c r="AB82" s="219"/>
      <c r="AC82" s="219"/>
      <c r="AD82" s="219"/>
      <c r="AE82" s="219"/>
    </row>
    <row r="83" spans="1:31" x14ac:dyDescent="0.45">
      <c r="A83" s="35"/>
      <c r="B83" s="32"/>
      <c r="C83" s="26"/>
      <c r="D83" s="26"/>
      <c r="E83" s="26"/>
      <c r="F83" s="26"/>
      <c r="G83" s="26"/>
      <c r="H83" s="73"/>
      <c r="I83" s="26"/>
      <c r="J83" s="26"/>
      <c r="K83" s="26"/>
      <c r="L83" s="26"/>
      <c r="M83" s="26"/>
      <c r="N83" s="26"/>
      <c r="O83" s="26"/>
      <c r="P83" s="26"/>
      <c r="S83" s="51"/>
      <c r="U83" s="51"/>
      <c r="X83" s="219"/>
      <c r="Y83" s="219"/>
      <c r="Z83" s="219"/>
      <c r="AA83" s="219"/>
      <c r="AB83" s="219"/>
      <c r="AC83" s="219"/>
      <c r="AD83" s="219"/>
      <c r="AE83" s="219"/>
    </row>
    <row r="84" spans="1:31" x14ac:dyDescent="0.45">
      <c r="A84" s="74" t="s">
        <v>1526</v>
      </c>
      <c r="B84" s="75"/>
      <c r="C84" s="74">
        <f>(C51+C52)/C3</f>
        <v>0.13764277234081881</v>
      </c>
      <c r="D84" s="74">
        <f t="shared" ref="D84:S84" si="24">(D51+D52)/D3</f>
        <v>0.10240343873436013</v>
      </c>
      <c r="E84" s="74">
        <f t="shared" si="24"/>
        <v>0.2932494865700162</v>
      </c>
      <c r="F84" s="74">
        <f t="shared" si="24"/>
        <v>0.11456894575307505</v>
      </c>
      <c r="G84" s="74">
        <f t="shared" si="24"/>
        <v>0.13507299371566761</v>
      </c>
      <c r="H84" s="74"/>
      <c r="I84" s="74">
        <f t="shared" si="24"/>
        <v>0.12175126652527006</v>
      </c>
      <c r="J84" s="74">
        <f t="shared" si="24"/>
        <v>0.12633350827105369</v>
      </c>
      <c r="K84" s="74">
        <f t="shared" si="24"/>
        <v>0.10259981545702733</v>
      </c>
      <c r="L84" s="74">
        <f t="shared" si="24"/>
        <v>8.0042959505496156E-2</v>
      </c>
      <c r="M84" s="74">
        <f t="shared" si="24"/>
        <v>0.15959046295384943</v>
      </c>
      <c r="N84" s="74">
        <f t="shared" si="24"/>
        <v>9.8778934813334746E-2</v>
      </c>
      <c r="O84" s="74">
        <f t="shared" si="24"/>
        <v>0.37932075002931759</v>
      </c>
      <c r="P84" s="74">
        <f t="shared" si="24"/>
        <v>0.1517259671687485</v>
      </c>
      <c r="Q84" s="74"/>
      <c r="R84" s="74">
        <f t="shared" si="24"/>
        <v>0</v>
      </c>
      <c r="S84" s="74">
        <f t="shared" si="24"/>
        <v>0.11733547688391507</v>
      </c>
      <c r="T84" s="76"/>
      <c r="U84" s="74">
        <f t="shared" ref="U84" si="25">(U51+U52)/U3</f>
        <v>0.12900262022155032</v>
      </c>
      <c r="X84" s="219"/>
      <c r="Y84" s="219"/>
      <c r="Z84" s="219"/>
      <c r="AA84" s="219"/>
      <c r="AB84" s="219"/>
      <c r="AC84" s="219"/>
      <c r="AD84" s="219"/>
      <c r="AE84" s="219"/>
    </row>
    <row r="85" spans="1:31" x14ac:dyDescent="0.45">
      <c r="A85" s="74" t="s">
        <v>1527</v>
      </c>
      <c r="B85" s="75"/>
      <c r="C85" s="74">
        <f>C52/C3</f>
        <v>7.8353693325516588E-2</v>
      </c>
      <c r="D85" s="74">
        <f t="shared" ref="D85:S85" si="26">D52/D3</f>
        <v>2.9528761331577696E-2</v>
      </c>
      <c r="E85" s="74">
        <f t="shared" si="26"/>
        <v>9.9195254659332668E-2</v>
      </c>
      <c r="F85" s="74">
        <f t="shared" si="26"/>
        <v>5.6499040677502152E-2</v>
      </c>
      <c r="G85" s="74">
        <f t="shared" si="26"/>
        <v>4.8942934765644291E-2</v>
      </c>
      <c r="H85" s="74"/>
      <c r="I85" s="74">
        <f t="shared" si="26"/>
        <v>4.0867218987891189E-2</v>
      </c>
      <c r="J85" s="74">
        <f t="shared" si="26"/>
        <v>4.4928604250385779E-2</v>
      </c>
      <c r="K85" s="74">
        <f t="shared" si="26"/>
        <v>4.6697104843221246E-2</v>
      </c>
      <c r="L85" s="74">
        <f t="shared" si="26"/>
        <v>2.1193034287478655E-2</v>
      </c>
      <c r="M85" s="74">
        <f t="shared" si="26"/>
        <v>4.009062808071464E-2</v>
      </c>
      <c r="N85" s="74">
        <f t="shared" si="26"/>
        <v>4.1123112887303866E-2</v>
      </c>
      <c r="O85" s="74">
        <f t="shared" si="26"/>
        <v>1.3140762831711558E-2</v>
      </c>
      <c r="P85" s="74">
        <f t="shared" si="26"/>
        <v>0</v>
      </c>
      <c r="Q85" s="74"/>
      <c r="R85" s="74">
        <f t="shared" si="26"/>
        <v>0</v>
      </c>
      <c r="S85" s="74">
        <f t="shared" si="26"/>
        <v>4.1030894254509613E-2</v>
      </c>
      <c r="T85" s="76"/>
      <c r="U85" s="74">
        <f t="shared" ref="U85" si="27">U52/U3</f>
        <v>5.0209042329926276E-2</v>
      </c>
      <c r="X85" s="219"/>
      <c r="Y85" s="219"/>
      <c r="Z85" s="219"/>
      <c r="AA85" s="219"/>
      <c r="AB85" s="219"/>
      <c r="AC85" s="219"/>
      <c r="AD85" s="219"/>
      <c r="AE85" s="219"/>
    </row>
    <row r="86" spans="1:31" x14ac:dyDescent="0.45">
      <c r="A86" s="74" t="s">
        <v>1528</v>
      </c>
      <c r="B86" s="75"/>
      <c r="C86" s="74">
        <f>IFERROR((C51+C52+C53+C54+C55+C57+C58+C59+C60+C61+C62)/C3,"NA")</f>
        <v>0.24045565413641934</v>
      </c>
      <c r="D86" s="74">
        <f t="shared" ref="D86:S86" si="28">IFERROR((D51+D52+D53+D54+D55+D57+D58+D59+D60+D61+D62)/D3,"NA")</f>
        <v>0.18382053508152199</v>
      </c>
      <c r="E86" s="77">
        <f t="shared" si="28"/>
        <v>0.34935993365004275</v>
      </c>
      <c r="F86" s="74">
        <f t="shared" si="28"/>
        <v>0.2095406464804348</v>
      </c>
      <c r="G86" s="74">
        <f t="shared" si="28"/>
        <v>0.20288013457427098</v>
      </c>
      <c r="H86" s="74"/>
      <c r="I86" s="74">
        <f t="shared" si="28"/>
        <v>0.23250271597294492</v>
      </c>
      <c r="J86" s="74">
        <f t="shared" si="28"/>
        <v>0.2539714302059885</v>
      </c>
      <c r="K86" s="74">
        <f t="shared" si="28"/>
        <v>0.19444639716015169</v>
      </c>
      <c r="L86" s="74">
        <f t="shared" si="28"/>
        <v>0.19612299379391557</v>
      </c>
      <c r="M86" s="74">
        <f t="shared" si="28"/>
        <v>0.30163600030222809</v>
      </c>
      <c r="N86" s="74">
        <f t="shared" si="28"/>
        <v>0.26075660811008267</v>
      </c>
      <c r="O86" s="77">
        <f t="shared" si="28"/>
        <v>0.40439712636778652</v>
      </c>
      <c r="P86" s="74">
        <f t="shared" si="28"/>
        <v>0.16701095349093353</v>
      </c>
      <c r="Q86" s="74"/>
      <c r="R86" s="74">
        <f t="shared" si="28"/>
        <v>6.4464599324675564</v>
      </c>
      <c r="S86" s="74">
        <f t="shared" si="28"/>
        <v>0.3261197123407884</v>
      </c>
      <c r="T86" s="76"/>
      <c r="U86" s="74">
        <f t="shared" ref="U86" si="29">IFERROR((U51+U52+U53+U54+U55+U57+U58+U59+U60+U61+U62)/U3,"NA")</f>
        <v>0.30360517524724767</v>
      </c>
      <c r="X86" s="219"/>
      <c r="Y86" s="219"/>
      <c r="Z86" s="219"/>
      <c r="AA86" s="219"/>
      <c r="AB86" s="219"/>
      <c r="AC86" s="219"/>
      <c r="AD86" s="219"/>
      <c r="AE86" s="219"/>
    </row>
    <row r="87" spans="1:31" x14ac:dyDescent="0.45">
      <c r="A87" s="9"/>
      <c r="B87" s="25"/>
      <c r="C87" s="78"/>
      <c r="D87" s="78"/>
      <c r="E87" s="78"/>
      <c r="F87" s="78"/>
      <c r="G87" s="78"/>
      <c r="H87" s="78"/>
      <c r="I87" s="78"/>
      <c r="J87" s="78"/>
      <c r="K87" s="78"/>
      <c r="L87" s="78"/>
      <c r="M87" s="78"/>
      <c r="N87" s="78"/>
      <c r="O87" s="78"/>
      <c r="P87" s="78"/>
      <c r="Q87" s="9"/>
      <c r="R87" s="9"/>
      <c r="S87" s="79"/>
      <c r="T87" s="9"/>
      <c r="U87" s="79"/>
      <c r="X87" s="219"/>
      <c r="Y87" s="219"/>
      <c r="Z87" s="219"/>
      <c r="AA87" s="219"/>
      <c r="AB87" s="219"/>
      <c r="AC87" s="219"/>
      <c r="AD87" s="219"/>
      <c r="AE87" s="219"/>
    </row>
    <row r="88" spans="1:31" x14ac:dyDescent="0.45">
      <c r="A88" s="9" t="s">
        <v>1529</v>
      </c>
      <c r="B88" s="25"/>
      <c r="C88" s="74">
        <f>C49/C3</f>
        <v>5.9711994028492407E-2</v>
      </c>
      <c r="D88" s="74">
        <f t="shared" ref="D88:S88" si="30">D49/D3</f>
        <v>8.9939637745339196E-2</v>
      </c>
      <c r="E88" s="74">
        <f t="shared" si="30"/>
        <v>0.39941846822358074</v>
      </c>
      <c r="F88" s="74">
        <f t="shared" si="30"/>
        <v>7.6659940693825618E-2</v>
      </c>
      <c r="G88" s="74">
        <f t="shared" si="30"/>
        <v>6.8104388135988583E-2</v>
      </c>
      <c r="H88" s="74"/>
      <c r="I88" s="74">
        <f t="shared" si="30"/>
        <v>9.3526581072698442E-2</v>
      </c>
      <c r="J88" s="74">
        <f t="shared" si="30"/>
        <v>5.05046678939301E-2</v>
      </c>
      <c r="K88" s="74">
        <f t="shared" si="30"/>
        <v>0.10204514341084304</v>
      </c>
      <c r="L88" s="74">
        <f t="shared" si="30"/>
        <v>4.6872946624434114E-2</v>
      </c>
      <c r="M88" s="74">
        <f t="shared" si="30"/>
        <v>4.4840968143406795E-2</v>
      </c>
      <c r="N88" s="74">
        <f t="shared" si="30"/>
        <v>7.7175508998207021E-2</v>
      </c>
      <c r="O88" s="74">
        <f t="shared" si="30"/>
        <v>0.11819733763973359</v>
      </c>
      <c r="P88" s="74">
        <f t="shared" si="30"/>
        <v>0.14236016672623317</v>
      </c>
      <c r="Q88" s="74"/>
      <c r="R88" s="74">
        <f t="shared" si="30"/>
        <v>1.193299910549954</v>
      </c>
      <c r="S88" s="74">
        <f t="shared" si="30"/>
        <v>9.7023541311645839E-2</v>
      </c>
      <c r="T88" s="76"/>
      <c r="U88" s="74">
        <f t="shared" ref="U88" si="31">U49/U3</f>
        <v>8.0482905202380772E-2</v>
      </c>
      <c r="X88" s="219"/>
      <c r="Y88" s="219"/>
      <c r="Z88" s="219"/>
      <c r="AA88" s="219"/>
      <c r="AB88" s="219"/>
      <c r="AC88" s="219"/>
      <c r="AD88" s="219"/>
      <c r="AE88" s="219"/>
    </row>
    <row r="89" spans="1:31" x14ac:dyDescent="0.45">
      <c r="A89" s="9" t="s">
        <v>1530</v>
      </c>
      <c r="B89" s="9"/>
      <c r="C89" s="74">
        <f>C79/C3</f>
        <v>0.39487102478956909</v>
      </c>
      <c r="D89" s="74">
        <f t="shared" ref="D89:S89" si="32">D79/D3</f>
        <v>0.560275065832057</v>
      </c>
      <c r="E89" s="74">
        <f t="shared" si="32"/>
        <v>4.62064360234241E-2</v>
      </c>
      <c r="F89" s="74">
        <f t="shared" si="32"/>
        <v>0.4315893844176098</v>
      </c>
      <c r="G89" s="74">
        <f t="shared" si="32"/>
        <v>0.59171547008202618</v>
      </c>
      <c r="H89" s="74"/>
      <c r="I89" s="74">
        <f t="shared" si="32"/>
        <v>0.46219074948850702</v>
      </c>
      <c r="J89" s="74">
        <f t="shared" si="32"/>
        <v>0.43775826498005449</v>
      </c>
      <c r="K89" s="74">
        <f t="shared" si="32"/>
        <v>0.52564110995182789</v>
      </c>
      <c r="L89" s="74">
        <f t="shared" si="32"/>
        <v>0.418727443672604</v>
      </c>
      <c r="M89" s="74">
        <f t="shared" si="32"/>
        <v>0.35782745060935517</v>
      </c>
      <c r="N89" s="74">
        <f t="shared" si="32"/>
        <v>0.17885864396570977</v>
      </c>
      <c r="O89" s="74">
        <f t="shared" si="32"/>
        <v>0.38003989971303537</v>
      </c>
      <c r="P89" s="74">
        <f t="shared" si="32"/>
        <v>0.3341054499218144</v>
      </c>
      <c r="Q89" s="74"/>
      <c r="R89" s="74">
        <f t="shared" si="32"/>
        <v>-13.066966550678215</v>
      </c>
      <c r="S89" s="74">
        <f t="shared" si="32"/>
        <v>0.21134680394217842</v>
      </c>
      <c r="T89" s="76"/>
      <c r="U89" s="74">
        <f t="shared" ref="U89" si="33">U79/U3</f>
        <v>0.34177816253322324</v>
      </c>
      <c r="X89" s="219"/>
      <c r="Y89" s="219"/>
      <c r="Z89" s="219"/>
      <c r="AA89" s="219"/>
      <c r="AB89" s="219"/>
      <c r="AC89" s="219"/>
      <c r="AD89" s="219"/>
      <c r="AE89" s="219"/>
    </row>
    <row r="90" spans="1:31" x14ac:dyDescent="0.45">
      <c r="A90" s="9" t="s">
        <v>1531</v>
      </c>
      <c r="B90" s="25"/>
      <c r="C90" s="74">
        <f>C80/C3</f>
        <v>0.38485119809611962</v>
      </c>
      <c r="D90" s="74">
        <f t="shared" ref="D90:S90" si="34">D80/D3</f>
        <v>0.55765992253784002</v>
      </c>
      <c r="E90" s="74">
        <f t="shared" si="34"/>
        <v>3.6579098599889122E-2</v>
      </c>
      <c r="F90" s="74">
        <f t="shared" si="34"/>
        <v>0.42104940917161571</v>
      </c>
      <c r="G90" s="74">
        <f t="shared" si="34"/>
        <v>0.5819893121513553</v>
      </c>
      <c r="H90" s="74"/>
      <c r="I90" s="74">
        <f t="shared" si="34"/>
        <v>0.44664172156871829</v>
      </c>
      <c r="J90" s="74">
        <f t="shared" si="34"/>
        <v>0.40609967514178524</v>
      </c>
      <c r="K90" s="74">
        <f t="shared" si="34"/>
        <v>0.46122182505244547</v>
      </c>
      <c r="L90" s="74">
        <f t="shared" si="34"/>
        <v>0.34489588581913788</v>
      </c>
      <c r="M90" s="74">
        <f t="shared" si="34"/>
        <v>0.23538795396715895</v>
      </c>
      <c r="N90" s="74">
        <f t="shared" si="34"/>
        <v>4.072054256555166E-2</v>
      </c>
      <c r="O90" s="74">
        <f t="shared" si="34"/>
        <v>0.16786084604263724</v>
      </c>
      <c r="P90" s="74">
        <f t="shared" si="34"/>
        <v>0.31631998219748658</v>
      </c>
      <c r="Q90" s="74"/>
      <c r="R90" s="74">
        <f>(R80+R74)/R3</f>
        <v>-13.427745671507585</v>
      </c>
      <c r="S90" s="74">
        <f t="shared" si="34"/>
        <v>0.15494462270322745</v>
      </c>
      <c r="T90" s="76"/>
      <c r="U90" s="74">
        <f t="shared" ref="U90" si="35">U80/U3</f>
        <v>0.29080070343670339</v>
      </c>
      <c r="X90" s="219"/>
      <c r="Y90" s="219"/>
      <c r="Z90" s="219"/>
      <c r="AA90" s="219"/>
      <c r="AB90" s="219"/>
      <c r="AC90" s="219"/>
      <c r="AD90" s="219"/>
      <c r="AE90" s="219"/>
    </row>
  </sheetData>
  <mergeCells count="22">
    <mergeCell ref="X39:AE39"/>
    <mergeCell ref="C1:S1"/>
    <mergeCell ref="X3:AE4"/>
    <mergeCell ref="X7:AE10"/>
    <mergeCell ref="X11:AE12"/>
    <mergeCell ref="X13:AE13"/>
    <mergeCell ref="X25:AE26"/>
    <mergeCell ref="X30:AE30"/>
    <mergeCell ref="X33:AE33"/>
    <mergeCell ref="X35:AE35"/>
    <mergeCell ref="X37:AE37"/>
    <mergeCell ref="X38:AE38"/>
    <mergeCell ref="X61:AE61"/>
    <mergeCell ref="X73:AE73"/>
    <mergeCell ref="X75:AE79"/>
    <mergeCell ref="X82:AE90"/>
    <mergeCell ref="X40:AE40"/>
    <mergeCell ref="X43:AE43"/>
    <mergeCell ref="X46:AE46"/>
    <mergeCell ref="X47:AE47"/>
    <mergeCell ref="X51:AE56"/>
    <mergeCell ref="X57:AE57"/>
  </mergeCells>
  <pageMargins left="0.7" right="0.7" top="0.75" bottom="0.75" header="0.3" footer="0.3"/>
  <pageSetup paperSize="9" orientation="portrait" r:id="rId1"/>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35EC1-C14A-4ABA-8F4F-20BAFB885B4A}">
  <dimension ref="A1:E238"/>
  <sheetViews>
    <sheetView workbookViewId="0">
      <selection activeCell="D20" sqref="D20"/>
    </sheetView>
  </sheetViews>
  <sheetFormatPr defaultRowHeight="14.25" x14ac:dyDescent="0.45"/>
  <cols>
    <col min="2" max="2" width="48.46484375" bestFit="1" customWidth="1"/>
    <col min="4" max="4" width="37" bestFit="1" customWidth="1"/>
  </cols>
  <sheetData>
    <row r="1" spans="1:5" x14ac:dyDescent="0.45">
      <c r="A1" t="s">
        <v>1562</v>
      </c>
      <c r="B1" t="s">
        <v>1563</v>
      </c>
    </row>
    <row r="2" spans="1:5" x14ac:dyDescent="0.45">
      <c r="A2">
        <v>11110010</v>
      </c>
      <c r="B2" t="s">
        <v>1092</v>
      </c>
      <c r="C2">
        <v>11110010</v>
      </c>
      <c r="D2" t="s">
        <v>1092</v>
      </c>
      <c r="E2">
        <f>VLOOKUP(C2,A:A,1,FALSE)</f>
        <v>11110010</v>
      </c>
    </row>
    <row r="3" spans="1:5" x14ac:dyDescent="0.45">
      <c r="A3">
        <v>11110020</v>
      </c>
      <c r="B3" t="s">
        <v>1093</v>
      </c>
      <c r="C3">
        <v>11110020</v>
      </c>
      <c r="D3" t="s">
        <v>1093</v>
      </c>
      <c r="E3">
        <f t="shared" ref="E3:E66" si="0">VLOOKUP(C3,A:A,1,FALSE)</f>
        <v>11110020</v>
      </c>
    </row>
    <row r="4" spans="1:5" x14ac:dyDescent="0.45">
      <c r="A4">
        <v>11120060</v>
      </c>
      <c r="B4" t="s">
        <v>1094</v>
      </c>
      <c r="C4">
        <v>11120060</v>
      </c>
      <c r="D4" t="s">
        <v>1094</v>
      </c>
      <c r="E4">
        <f t="shared" si="0"/>
        <v>11120060</v>
      </c>
    </row>
    <row r="5" spans="1:5" x14ac:dyDescent="0.45">
      <c r="A5">
        <v>11120061</v>
      </c>
      <c r="B5" t="s">
        <v>1095</v>
      </c>
      <c r="C5">
        <v>11120061</v>
      </c>
      <c r="D5" t="s">
        <v>1095</v>
      </c>
      <c r="E5">
        <f t="shared" si="0"/>
        <v>11120061</v>
      </c>
    </row>
    <row r="6" spans="1:5" x14ac:dyDescent="0.45">
      <c r="A6">
        <v>11120062</v>
      </c>
      <c r="B6" t="s">
        <v>1096</v>
      </c>
      <c r="C6">
        <v>11120062</v>
      </c>
      <c r="D6" t="s">
        <v>1096</v>
      </c>
      <c r="E6">
        <f t="shared" si="0"/>
        <v>11120062</v>
      </c>
    </row>
    <row r="7" spans="1:5" x14ac:dyDescent="0.45">
      <c r="A7">
        <v>11120080</v>
      </c>
      <c r="B7" t="s">
        <v>1097</v>
      </c>
      <c r="C7">
        <v>11120080</v>
      </c>
      <c r="D7" t="s">
        <v>1097</v>
      </c>
      <c r="E7">
        <f t="shared" si="0"/>
        <v>11120080</v>
      </c>
    </row>
    <row r="8" spans="1:5" x14ac:dyDescent="0.45">
      <c r="A8">
        <v>11120082</v>
      </c>
      <c r="B8" t="s">
        <v>1098</v>
      </c>
      <c r="C8">
        <v>11120081</v>
      </c>
      <c r="D8" t="s">
        <v>1555</v>
      </c>
      <c r="E8" t="e">
        <f t="shared" si="0"/>
        <v>#N/A</v>
      </c>
    </row>
    <row r="9" spans="1:5" x14ac:dyDescent="0.45">
      <c r="A9">
        <v>11120200</v>
      </c>
      <c r="B9" t="s">
        <v>1099</v>
      </c>
      <c r="C9">
        <v>11120082</v>
      </c>
      <c r="D9" t="s">
        <v>1098</v>
      </c>
      <c r="E9">
        <f t="shared" si="0"/>
        <v>11120082</v>
      </c>
    </row>
    <row r="10" spans="1:5" x14ac:dyDescent="0.45">
      <c r="A10">
        <v>11210010</v>
      </c>
      <c r="B10" t="s">
        <v>1100</v>
      </c>
      <c r="C10">
        <v>11120200</v>
      </c>
      <c r="D10" t="s">
        <v>1099</v>
      </c>
      <c r="E10">
        <f t="shared" si="0"/>
        <v>11120200</v>
      </c>
    </row>
    <row r="11" spans="1:5" x14ac:dyDescent="0.45">
      <c r="A11">
        <v>11210020</v>
      </c>
      <c r="B11" t="s">
        <v>1101</v>
      </c>
      <c r="C11">
        <v>11210010</v>
      </c>
      <c r="D11" t="s">
        <v>1100</v>
      </c>
      <c r="E11">
        <f t="shared" si="0"/>
        <v>11210010</v>
      </c>
    </row>
    <row r="12" spans="1:5" x14ac:dyDescent="0.45">
      <c r="A12">
        <v>11210030</v>
      </c>
      <c r="B12" t="s">
        <v>1102</v>
      </c>
      <c r="C12">
        <v>11210020</v>
      </c>
      <c r="D12" t="s">
        <v>1101</v>
      </c>
      <c r="E12">
        <f t="shared" si="0"/>
        <v>11210020</v>
      </c>
    </row>
    <row r="13" spans="1:5" x14ac:dyDescent="0.45">
      <c r="A13">
        <v>11210050</v>
      </c>
      <c r="B13" t="s">
        <v>1103</v>
      </c>
      <c r="C13">
        <v>11210030</v>
      </c>
      <c r="D13" t="s">
        <v>1102</v>
      </c>
      <c r="E13">
        <f t="shared" si="0"/>
        <v>11210030</v>
      </c>
    </row>
    <row r="14" spans="1:5" x14ac:dyDescent="0.45">
      <c r="A14">
        <v>11210070</v>
      </c>
      <c r="B14" t="s">
        <v>1104</v>
      </c>
      <c r="C14">
        <v>11210050</v>
      </c>
      <c r="D14" t="s">
        <v>1103</v>
      </c>
      <c r="E14">
        <f t="shared" si="0"/>
        <v>11210050</v>
      </c>
    </row>
    <row r="15" spans="1:5" x14ac:dyDescent="0.45">
      <c r="A15">
        <v>11210088</v>
      </c>
      <c r="B15" t="s">
        <v>1105</v>
      </c>
      <c r="C15">
        <v>11210070</v>
      </c>
      <c r="D15" t="s">
        <v>1104</v>
      </c>
      <c r="E15">
        <f t="shared" si="0"/>
        <v>11210070</v>
      </c>
    </row>
    <row r="16" spans="1:5" x14ac:dyDescent="0.45">
      <c r="A16">
        <v>11210097</v>
      </c>
      <c r="B16" t="s">
        <v>1106</v>
      </c>
      <c r="C16">
        <v>11210088</v>
      </c>
      <c r="D16" t="s">
        <v>1105</v>
      </c>
      <c r="E16">
        <f t="shared" si="0"/>
        <v>11210088</v>
      </c>
    </row>
    <row r="17" spans="1:5" x14ac:dyDescent="0.45">
      <c r="A17">
        <v>11210100</v>
      </c>
      <c r="B17" t="s">
        <v>1107</v>
      </c>
      <c r="C17">
        <v>11210097</v>
      </c>
      <c r="D17" t="s">
        <v>1106</v>
      </c>
      <c r="E17">
        <f t="shared" si="0"/>
        <v>11210097</v>
      </c>
    </row>
    <row r="18" spans="1:5" x14ac:dyDescent="0.45">
      <c r="A18">
        <v>11219998</v>
      </c>
      <c r="B18" t="s">
        <v>1108</v>
      </c>
      <c r="C18">
        <v>11210100</v>
      </c>
      <c r="D18" t="s">
        <v>1107</v>
      </c>
      <c r="E18">
        <f t="shared" si="0"/>
        <v>11210100</v>
      </c>
    </row>
    <row r="19" spans="1:5" x14ac:dyDescent="0.45">
      <c r="A19">
        <v>11219999</v>
      </c>
      <c r="B19" t="s">
        <v>1109</v>
      </c>
      <c r="C19">
        <v>11219998</v>
      </c>
      <c r="D19" t="s">
        <v>1108</v>
      </c>
      <c r="E19">
        <f t="shared" si="0"/>
        <v>11219998</v>
      </c>
    </row>
    <row r="20" spans="1:5" x14ac:dyDescent="0.45">
      <c r="A20">
        <v>11310010</v>
      </c>
      <c r="B20" t="s">
        <v>1110</v>
      </c>
      <c r="C20">
        <v>11219999</v>
      </c>
      <c r="D20" t="s">
        <v>1109</v>
      </c>
      <c r="E20">
        <f t="shared" si="0"/>
        <v>11219999</v>
      </c>
    </row>
    <row r="21" spans="1:5" x14ac:dyDescent="0.45">
      <c r="A21">
        <v>11310020</v>
      </c>
      <c r="B21" t="s">
        <v>1111</v>
      </c>
      <c r="C21">
        <v>11310010</v>
      </c>
      <c r="D21" t="s">
        <v>1110</v>
      </c>
      <c r="E21">
        <f t="shared" si="0"/>
        <v>11310010</v>
      </c>
    </row>
    <row r="22" spans="1:5" x14ac:dyDescent="0.45">
      <c r="A22">
        <v>11310030</v>
      </c>
      <c r="B22" t="s">
        <v>1112</v>
      </c>
      <c r="C22">
        <v>11310020</v>
      </c>
      <c r="D22" t="s">
        <v>1111</v>
      </c>
      <c r="E22">
        <f t="shared" si="0"/>
        <v>11310020</v>
      </c>
    </row>
    <row r="23" spans="1:5" x14ac:dyDescent="0.45">
      <c r="A23">
        <v>11320010</v>
      </c>
      <c r="B23" t="s">
        <v>1113</v>
      </c>
      <c r="C23">
        <v>11310030</v>
      </c>
      <c r="D23" t="s">
        <v>1112</v>
      </c>
      <c r="E23">
        <f t="shared" si="0"/>
        <v>11310030</v>
      </c>
    </row>
    <row r="24" spans="1:5" x14ac:dyDescent="0.45">
      <c r="A24">
        <v>11330010</v>
      </c>
      <c r="B24" t="s">
        <v>1114</v>
      </c>
      <c r="C24">
        <v>11320010</v>
      </c>
      <c r="D24" t="s">
        <v>1113</v>
      </c>
      <c r="E24">
        <f t="shared" si="0"/>
        <v>11320010</v>
      </c>
    </row>
    <row r="25" spans="1:5" x14ac:dyDescent="0.45">
      <c r="A25">
        <v>11340010</v>
      </c>
      <c r="B25" t="s">
        <v>1115</v>
      </c>
      <c r="C25">
        <v>11330010</v>
      </c>
      <c r="D25" t="s">
        <v>1114</v>
      </c>
      <c r="E25">
        <f t="shared" si="0"/>
        <v>11330010</v>
      </c>
    </row>
    <row r="26" spans="1:5" x14ac:dyDescent="0.45">
      <c r="A26">
        <v>11350030</v>
      </c>
      <c r="B26" t="s">
        <v>1116</v>
      </c>
      <c r="C26">
        <v>11340010</v>
      </c>
      <c r="D26" t="s">
        <v>1115</v>
      </c>
      <c r="E26">
        <f t="shared" si="0"/>
        <v>11340010</v>
      </c>
    </row>
    <row r="27" spans="1:5" x14ac:dyDescent="0.45">
      <c r="A27">
        <v>11500010</v>
      </c>
      <c r="B27" t="s">
        <v>1117</v>
      </c>
      <c r="C27">
        <v>11350030</v>
      </c>
      <c r="D27" t="s">
        <v>1116</v>
      </c>
      <c r="E27">
        <f t="shared" si="0"/>
        <v>11350030</v>
      </c>
    </row>
    <row r="28" spans="1:5" x14ac:dyDescent="0.45">
      <c r="A28">
        <v>11500040</v>
      </c>
      <c r="B28" t="s">
        <v>1118</v>
      </c>
      <c r="C28">
        <v>11500010</v>
      </c>
      <c r="D28" t="s">
        <v>1117</v>
      </c>
      <c r="E28">
        <f t="shared" si="0"/>
        <v>11500010</v>
      </c>
    </row>
    <row r="29" spans="1:5" x14ac:dyDescent="0.45">
      <c r="A29">
        <v>11500045</v>
      </c>
      <c r="B29" t="s">
        <v>1119</v>
      </c>
      <c r="C29">
        <v>11500030</v>
      </c>
      <c r="D29" t="s">
        <v>1556</v>
      </c>
      <c r="E29" t="e">
        <f t="shared" si="0"/>
        <v>#N/A</v>
      </c>
    </row>
    <row r="30" spans="1:5" x14ac:dyDescent="0.45">
      <c r="A30">
        <v>11500060</v>
      </c>
      <c r="B30" t="s">
        <v>1120</v>
      </c>
      <c r="C30">
        <v>11500040</v>
      </c>
      <c r="D30" t="s">
        <v>1118</v>
      </c>
      <c r="E30">
        <f t="shared" si="0"/>
        <v>11500040</v>
      </c>
    </row>
    <row r="31" spans="1:5" x14ac:dyDescent="0.45">
      <c r="A31">
        <v>11500066</v>
      </c>
      <c r="B31" t="s">
        <v>1121</v>
      </c>
      <c r="C31">
        <v>11500045</v>
      </c>
      <c r="D31" t="s">
        <v>1119</v>
      </c>
      <c r="E31">
        <f t="shared" si="0"/>
        <v>11500045</v>
      </c>
    </row>
    <row r="32" spans="1:5" x14ac:dyDescent="0.45">
      <c r="A32">
        <v>11500070</v>
      </c>
      <c r="B32" t="s">
        <v>1122</v>
      </c>
      <c r="C32">
        <v>11500060</v>
      </c>
      <c r="D32" t="s">
        <v>1120</v>
      </c>
      <c r="E32">
        <f t="shared" si="0"/>
        <v>11500060</v>
      </c>
    </row>
    <row r="33" spans="1:5" x14ac:dyDescent="0.45">
      <c r="A33">
        <v>11500080</v>
      </c>
      <c r="B33" t="s">
        <v>1123</v>
      </c>
      <c r="C33">
        <v>11500066</v>
      </c>
      <c r="D33" t="s">
        <v>1121</v>
      </c>
      <c r="E33">
        <f t="shared" si="0"/>
        <v>11500066</v>
      </c>
    </row>
    <row r="34" spans="1:5" x14ac:dyDescent="0.45">
      <c r="A34">
        <v>11500090</v>
      </c>
      <c r="B34" t="s">
        <v>1124</v>
      </c>
      <c r="C34">
        <v>11500070</v>
      </c>
      <c r="D34" t="s">
        <v>1122</v>
      </c>
      <c r="E34">
        <f t="shared" si="0"/>
        <v>11500070</v>
      </c>
    </row>
    <row r="35" spans="1:5" x14ac:dyDescent="0.45">
      <c r="A35">
        <v>12200010</v>
      </c>
      <c r="B35" t="s">
        <v>1125</v>
      </c>
      <c r="C35">
        <v>11500080</v>
      </c>
      <c r="D35" t="s">
        <v>1123</v>
      </c>
      <c r="E35">
        <f t="shared" si="0"/>
        <v>11500080</v>
      </c>
    </row>
    <row r="36" spans="1:5" x14ac:dyDescent="0.45">
      <c r="A36">
        <v>12500010</v>
      </c>
      <c r="B36" t="s">
        <v>1126</v>
      </c>
      <c r="C36">
        <v>11500090</v>
      </c>
      <c r="D36" t="s">
        <v>1124</v>
      </c>
      <c r="E36">
        <f t="shared" si="0"/>
        <v>11500090</v>
      </c>
    </row>
    <row r="37" spans="1:5" x14ac:dyDescent="0.45">
      <c r="A37">
        <v>12500050</v>
      </c>
      <c r="B37" t="s">
        <v>1127</v>
      </c>
      <c r="C37">
        <v>12200010</v>
      </c>
      <c r="D37" t="s">
        <v>1125</v>
      </c>
      <c r="E37">
        <f t="shared" si="0"/>
        <v>12200010</v>
      </c>
    </row>
    <row r="38" spans="1:5" x14ac:dyDescent="0.45">
      <c r="A38">
        <v>12500060</v>
      </c>
      <c r="B38" t="s">
        <v>1128</v>
      </c>
      <c r="C38">
        <v>12500010</v>
      </c>
      <c r="D38" t="s">
        <v>1126</v>
      </c>
      <c r="E38">
        <f t="shared" si="0"/>
        <v>12500010</v>
      </c>
    </row>
    <row r="39" spans="1:5" x14ac:dyDescent="0.45">
      <c r="A39">
        <v>12500070</v>
      </c>
      <c r="B39" t="s">
        <v>1129</v>
      </c>
      <c r="C39">
        <v>12500050</v>
      </c>
      <c r="D39" t="s">
        <v>1127</v>
      </c>
      <c r="E39">
        <f t="shared" si="0"/>
        <v>12500050</v>
      </c>
    </row>
    <row r="40" spans="1:5" x14ac:dyDescent="0.45">
      <c r="A40">
        <v>12500080</v>
      </c>
      <c r="B40" t="s">
        <v>1130</v>
      </c>
      <c r="C40">
        <v>12500060</v>
      </c>
      <c r="D40" t="s">
        <v>1128</v>
      </c>
      <c r="E40">
        <f t="shared" si="0"/>
        <v>12500060</v>
      </c>
    </row>
    <row r="41" spans="1:5" x14ac:dyDescent="0.45">
      <c r="A41">
        <v>12500090</v>
      </c>
      <c r="B41" t="s">
        <v>1131</v>
      </c>
      <c r="C41">
        <v>12500070</v>
      </c>
      <c r="D41" t="s">
        <v>1129</v>
      </c>
      <c r="E41">
        <f t="shared" si="0"/>
        <v>12500070</v>
      </c>
    </row>
    <row r="42" spans="1:5" x14ac:dyDescent="0.45">
      <c r="A42">
        <v>12500100</v>
      </c>
      <c r="B42" t="s">
        <v>1132</v>
      </c>
      <c r="C42">
        <v>12500080</v>
      </c>
      <c r="D42" t="s">
        <v>1130</v>
      </c>
      <c r="E42">
        <f t="shared" si="0"/>
        <v>12500080</v>
      </c>
    </row>
    <row r="43" spans="1:5" x14ac:dyDescent="0.45">
      <c r="A43">
        <v>12500110</v>
      </c>
      <c r="B43" t="s">
        <v>1133</v>
      </c>
      <c r="C43">
        <v>12500090</v>
      </c>
      <c r="D43" t="s">
        <v>1131</v>
      </c>
      <c r="E43">
        <f t="shared" si="0"/>
        <v>12500090</v>
      </c>
    </row>
    <row r="44" spans="1:5" x14ac:dyDescent="0.45">
      <c r="A44">
        <v>12500120</v>
      </c>
      <c r="B44" t="s">
        <v>1134</v>
      </c>
      <c r="C44">
        <v>12500100</v>
      </c>
      <c r="D44" t="s">
        <v>1132</v>
      </c>
      <c r="E44">
        <f t="shared" si="0"/>
        <v>12500100</v>
      </c>
    </row>
    <row r="45" spans="1:5" x14ac:dyDescent="0.45">
      <c r="A45">
        <v>12500130</v>
      </c>
      <c r="B45" t="s">
        <v>1135</v>
      </c>
      <c r="C45">
        <v>12500110</v>
      </c>
      <c r="D45" t="s">
        <v>1133</v>
      </c>
      <c r="E45">
        <f t="shared" si="0"/>
        <v>12500110</v>
      </c>
    </row>
    <row r="46" spans="1:5" x14ac:dyDescent="0.45">
      <c r="A46">
        <v>12500140</v>
      </c>
      <c r="B46" t="s">
        <v>1136</v>
      </c>
      <c r="C46">
        <v>12500120</v>
      </c>
      <c r="D46" t="s">
        <v>1134</v>
      </c>
      <c r="E46">
        <f t="shared" si="0"/>
        <v>12500120</v>
      </c>
    </row>
    <row r="47" spans="1:5" x14ac:dyDescent="0.45">
      <c r="A47">
        <v>12600010</v>
      </c>
      <c r="B47" t="s">
        <v>1137</v>
      </c>
      <c r="C47">
        <v>12500130</v>
      </c>
      <c r="D47" t="s">
        <v>1135</v>
      </c>
      <c r="E47">
        <f t="shared" si="0"/>
        <v>12500130</v>
      </c>
    </row>
    <row r="48" spans="1:5" x14ac:dyDescent="0.45">
      <c r="A48">
        <v>12600040</v>
      </c>
      <c r="B48" t="s">
        <v>1138</v>
      </c>
      <c r="C48">
        <v>12500140</v>
      </c>
      <c r="D48" t="s">
        <v>1136</v>
      </c>
      <c r="E48">
        <f t="shared" si="0"/>
        <v>12500140</v>
      </c>
    </row>
    <row r="49" spans="1:5" x14ac:dyDescent="0.45">
      <c r="A49">
        <v>12600050</v>
      </c>
      <c r="B49" t="s">
        <v>1139</v>
      </c>
      <c r="C49">
        <v>12600010</v>
      </c>
      <c r="D49" t="s">
        <v>1137</v>
      </c>
      <c r="E49">
        <f t="shared" si="0"/>
        <v>12600010</v>
      </c>
    </row>
    <row r="50" spans="1:5" x14ac:dyDescent="0.45">
      <c r="A50">
        <v>21100010</v>
      </c>
      <c r="B50" t="s">
        <v>1140</v>
      </c>
      <c r="C50">
        <v>12600040</v>
      </c>
      <c r="D50" t="s">
        <v>1138</v>
      </c>
      <c r="E50">
        <f t="shared" si="0"/>
        <v>12600040</v>
      </c>
    </row>
    <row r="51" spans="1:5" x14ac:dyDescent="0.45">
      <c r="A51">
        <v>21100020</v>
      </c>
      <c r="B51" t="s">
        <v>1141</v>
      </c>
      <c r="C51">
        <v>12600050</v>
      </c>
      <c r="D51" t="s">
        <v>1139</v>
      </c>
      <c r="E51">
        <f t="shared" si="0"/>
        <v>12600050</v>
      </c>
    </row>
    <row r="52" spans="1:5" x14ac:dyDescent="0.45">
      <c r="A52">
        <v>21100030</v>
      </c>
      <c r="B52" t="s">
        <v>1142</v>
      </c>
      <c r="C52">
        <v>21100010</v>
      </c>
      <c r="D52" t="s">
        <v>1140</v>
      </c>
      <c r="E52">
        <f t="shared" si="0"/>
        <v>21100010</v>
      </c>
    </row>
    <row r="53" spans="1:5" x14ac:dyDescent="0.45">
      <c r="A53">
        <v>21100050</v>
      </c>
      <c r="B53" t="s">
        <v>1143</v>
      </c>
      <c r="C53">
        <v>21100020</v>
      </c>
      <c r="D53" t="s">
        <v>1141</v>
      </c>
      <c r="E53">
        <f t="shared" si="0"/>
        <v>21100020</v>
      </c>
    </row>
    <row r="54" spans="1:5" x14ac:dyDescent="0.45">
      <c r="A54">
        <v>21200010</v>
      </c>
      <c r="B54" t="s">
        <v>1144</v>
      </c>
      <c r="C54">
        <v>21100030</v>
      </c>
      <c r="D54" t="s">
        <v>1142</v>
      </c>
      <c r="E54">
        <f t="shared" si="0"/>
        <v>21100030</v>
      </c>
    </row>
    <row r="55" spans="1:5" x14ac:dyDescent="0.45">
      <c r="A55">
        <v>21200030</v>
      </c>
      <c r="B55" t="s">
        <v>1145</v>
      </c>
      <c r="C55">
        <v>21100050</v>
      </c>
      <c r="D55" t="s">
        <v>1143</v>
      </c>
      <c r="E55">
        <f t="shared" si="0"/>
        <v>21100050</v>
      </c>
    </row>
    <row r="56" spans="1:5" x14ac:dyDescent="0.45">
      <c r="A56">
        <v>21200050</v>
      </c>
      <c r="B56" t="s">
        <v>1146</v>
      </c>
      <c r="C56">
        <v>21200010</v>
      </c>
      <c r="D56" t="s">
        <v>1144</v>
      </c>
      <c r="E56">
        <f t="shared" si="0"/>
        <v>21200010</v>
      </c>
    </row>
    <row r="57" spans="1:5" x14ac:dyDescent="0.45">
      <c r="A57">
        <v>21200100</v>
      </c>
      <c r="B57" t="s">
        <v>1147</v>
      </c>
      <c r="C57">
        <v>21200020</v>
      </c>
      <c r="D57" t="s">
        <v>1557</v>
      </c>
      <c r="E57" t="e">
        <f t="shared" si="0"/>
        <v>#N/A</v>
      </c>
    </row>
    <row r="58" spans="1:5" x14ac:dyDescent="0.45">
      <c r="A58">
        <v>21200150</v>
      </c>
      <c r="B58" t="s">
        <v>1148</v>
      </c>
      <c r="C58">
        <v>21200030</v>
      </c>
      <c r="D58" t="s">
        <v>1145</v>
      </c>
      <c r="E58">
        <f t="shared" si="0"/>
        <v>21200030</v>
      </c>
    </row>
    <row r="59" spans="1:5" x14ac:dyDescent="0.45">
      <c r="A59">
        <v>21200170</v>
      </c>
      <c r="B59" t="s">
        <v>1149</v>
      </c>
      <c r="C59">
        <v>21200050</v>
      </c>
      <c r="D59" t="s">
        <v>1146</v>
      </c>
      <c r="E59">
        <f t="shared" si="0"/>
        <v>21200050</v>
      </c>
    </row>
    <row r="60" spans="1:5" x14ac:dyDescent="0.45">
      <c r="A60">
        <v>21200180</v>
      </c>
      <c r="B60" t="s">
        <v>1150</v>
      </c>
      <c r="C60">
        <v>21200100</v>
      </c>
      <c r="D60" t="s">
        <v>1147</v>
      </c>
      <c r="E60">
        <f t="shared" si="0"/>
        <v>21200100</v>
      </c>
    </row>
    <row r="61" spans="1:5" x14ac:dyDescent="0.45">
      <c r="A61">
        <v>21200190</v>
      </c>
      <c r="B61" t="s">
        <v>1151</v>
      </c>
      <c r="C61">
        <v>21200150</v>
      </c>
      <c r="D61" t="s">
        <v>1148</v>
      </c>
      <c r="E61">
        <f t="shared" si="0"/>
        <v>21200150</v>
      </c>
    </row>
    <row r="62" spans="1:5" x14ac:dyDescent="0.45">
      <c r="A62">
        <v>21200200</v>
      </c>
      <c r="B62" t="s">
        <v>1152</v>
      </c>
      <c r="C62">
        <v>21200170</v>
      </c>
      <c r="D62" t="s">
        <v>1149</v>
      </c>
      <c r="E62">
        <f t="shared" si="0"/>
        <v>21200170</v>
      </c>
    </row>
    <row r="63" spans="1:5" x14ac:dyDescent="0.45">
      <c r="A63">
        <v>22100010</v>
      </c>
      <c r="B63" t="s">
        <v>1153</v>
      </c>
      <c r="C63">
        <v>21200180</v>
      </c>
      <c r="D63" t="s">
        <v>1150</v>
      </c>
      <c r="E63">
        <f t="shared" si="0"/>
        <v>21200180</v>
      </c>
    </row>
    <row r="64" spans="1:5" x14ac:dyDescent="0.45">
      <c r="A64">
        <v>22100020</v>
      </c>
      <c r="B64" t="s">
        <v>1154</v>
      </c>
      <c r="C64">
        <v>21200190</v>
      </c>
      <c r="D64" t="s">
        <v>1151</v>
      </c>
      <c r="E64">
        <f t="shared" si="0"/>
        <v>21200190</v>
      </c>
    </row>
    <row r="65" spans="1:5" x14ac:dyDescent="0.45">
      <c r="A65">
        <v>22100040</v>
      </c>
      <c r="B65" t="s">
        <v>1155</v>
      </c>
      <c r="C65">
        <v>21200200</v>
      </c>
      <c r="D65" t="s">
        <v>1152</v>
      </c>
      <c r="E65">
        <f t="shared" si="0"/>
        <v>21200200</v>
      </c>
    </row>
    <row r="66" spans="1:5" x14ac:dyDescent="0.45">
      <c r="A66">
        <v>22100100</v>
      </c>
      <c r="B66" t="s">
        <v>1156</v>
      </c>
      <c r="C66">
        <v>22100010</v>
      </c>
      <c r="D66" t="s">
        <v>1153</v>
      </c>
      <c r="E66">
        <f t="shared" si="0"/>
        <v>22100010</v>
      </c>
    </row>
    <row r="67" spans="1:5" x14ac:dyDescent="0.45">
      <c r="A67">
        <v>22220010</v>
      </c>
      <c r="B67" t="s">
        <v>1157</v>
      </c>
      <c r="C67">
        <v>22100020</v>
      </c>
      <c r="D67" t="s">
        <v>1154</v>
      </c>
      <c r="E67">
        <f t="shared" ref="E67:E130" si="1">VLOOKUP(C67,A:A,1,FALSE)</f>
        <v>22100020</v>
      </c>
    </row>
    <row r="68" spans="1:5" x14ac:dyDescent="0.45">
      <c r="A68">
        <v>31000010</v>
      </c>
      <c r="B68" t="s">
        <v>1158</v>
      </c>
      <c r="C68">
        <v>22100040</v>
      </c>
      <c r="D68" t="s">
        <v>1155</v>
      </c>
      <c r="E68">
        <f t="shared" si="1"/>
        <v>22100040</v>
      </c>
    </row>
    <row r="69" spans="1:5" x14ac:dyDescent="0.45">
      <c r="A69">
        <v>32000010</v>
      </c>
      <c r="B69" t="s">
        <v>1159</v>
      </c>
      <c r="C69">
        <v>22100100</v>
      </c>
      <c r="D69" t="s">
        <v>1156</v>
      </c>
      <c r="E69">
        <f t="shared" si="1"/>
        <v>22100100</v>
      </c>
    </row>
    <row r="70" spans="1:5" x14ac:dyDescent="0.45">
      <c r="A70">
        <v>41000010</v>
      </c>
      <c r="B70" t="s">
        <v>1160</v>
      </c>
      <c r="C70">
        <v>22220010</v>
      </c>
      <c r="D70" t="s">
        <v>1157</v>
      </c>
      <c r="E70">
        <f t="shared" si="1"/>
        <v>22220010</v>
      </c>
    </row>
    <row r="71" spans="1:5" x14ac:dyDescent="0.45">
      <c r="A71">
        <v>41000030</v>
      </c>
      <c r="B71" t="s">
        <v>1161</v>
      </c>
      <c r="C71">
        <v>31000010</v>
      </c>
      <c r="D71" t="s">
        <v>1158</v>
      </c>
      <c r="E71">
        <f t="shared" si="1"/>
        <v>31000010</v>
      </c>
    </row>
    <row r="72" spans="1:5" x14ac:dyDescent="0.45">
      <c r="A72">
        <v>41000050</v>
      </c>
      <c r="B72" t="s">
        <v>1162</v>
      </c>
      <c r="C72">
        <v>31000020</v>
      </c>
      <c r="D72" t="s">
        <v>1558</v>
      </c>
      <c r="E72" t="e">
        <f t="shared" si="1"/>
        <v>#N/A</v>
      </c>
    </row>
    <row r="73" spans="1:5" x14ac:dyDescent="0.45">
      <c r="A73">
        <v>41000070</v>
      </c>
      <c r="B73" t="s">
        <v>1163</v>
      </c>
      <c r="C73">
        <v>32000010</v>
      </c>
      <c r="D73" t="s">
        <v>1159</v>
      </c>
      <c r="E73">
        <f t="shared" si="1"/>
        <v>32000010</v>
      </c>
    </row>
    <row r="74" spans="1:5" x14ac:dyDescent="0.45">
      <c r="A74">
        <v>41000080</v>
      </c>
      <c r="B74" t="s">
        <v>1164</v>
      </c>
      <c r="C74">
        <v>41000010</v>
      </c>
      <c r="D74" t="s">
        <v>1160</v>
      </c>
      <c r="E74">
        <f t="shared" si="1"/>
        <v>41000010</v>
      </c>
    </row>
    <row r="75" spans="1:5" x14ac:dyDescent="0.45">
      <c r="A75">
        <v>41000090</v>
      </c>
      <c r="B75" t="s">
        <v>1165</v>
      </c>
      <c r="C75">
        <v>41000030</v>
      </c>
      <c r="D75" t="s">
        <v>1161</v>
      </c>
      <c r="E75">
        <f t="shared" si="1"/>
        <v>41000030</v>
      </c>
    </row>
    <row r="76" spans="1:5" x14ac:dyDescent="0.45">
      <c r="A76">
        <v>41000100</v>
      </c>
      <c r="B76" t="s">
        <v>1166</v>
      </c>
      <c r="C76">
        <v>41000050</v>
      </c>
      <c r="D76" t="s">
        <v>1162</v>
      </c>
      <c r="E76">
        <f t="shared" si="1"/>
        <v>41000050</v>
      </c>
    </row>
    <row r="77" spans="1:5" x14ac:dyDescent="0.45">
      <c r="A77">
        <v>41000110</v>
      </c>
      <c r="B77" t="s">
        <v>1167</v>
      </c>
      <c r="C77">
        <v>41000070</v>
      </c>
      <c r="D77" t="s">
        <v>1163</v>
      </c>
      <c r="E77">
        <f t="shared" si="1"/>
        <v>41000070</v>
      </c>
    </row>
    <row r="78" spans="1:5" x14ac:dyDescent="0.45">
      <c r="A78">
        <v>42000010</v>
      </c>
      <c r="B78" t="s">
        <v>1168</v>
      </c>
      <c r="C78">
        <v>41000080</v>
      </c>
      <c r="D78" t="s">
        <v>1164</v>
      </c>
      <c r="E78">
        <f t="shared" si="1"/>
        <v>41000080</v>
      </c>
    </row>
    <row r="79" spans="1:5" x14ac:dyDescent="0.45">
      <c r="A79">
        <v>45000010</v>
      </c>
      <c r="B79" t="s">
        <v>1169</v>
      </c>
      <c r="C79">
        <v>41000090</v>
      </c>
      <c r="D79" t="s">
        <v>1165</v>
      </c>
      <c r="E79">
        <f t="shared" si="1"/>
        <v>41000090</v>
      </c>
    </row>
    <row r="80" spans="1:5" x14ac:dyDescent="0.45">
      <c r="A80">
        <v>45000030</v>
      </c>
      <c r="B80" t="s">
        <v>1170</v>
      </c>
      <c r="C80">
        <v>41000100</v>
      </c>
      <c r="D80" t="s">
        <v>1166</v>
      </c>
      <c r="E80">
        <f t="shared" si="1"/>
        <v>41000100</v>
      </c>
    </row>
    <row r="81" spans="1:5" x14ac:dyDescent="0.45">
      <c r="A81">
        <v>51000010</v>
      </c>
      <c r="B81" t="s">
        <v>1171</v>
      </c>
      <c r="C81">
        <v>41000110</v>
      </c>
      <c r="D81" t="s">
        <v>1167</v>
      </c>
      <c r="E81">
        <f t="shared" si="1"/>
        <v>41000110</v>
      </c>
    </row>
    <row r="82" spans="1:5" x14ac:dyDescent="0.45">
      <c r="A82">
        <v>51000040</v>
      </c>
      <c r="B82" t="s">
        <v>1172</v>
      </c>
      <c r="C82">
        <v>42000010</v>
      </c>
      <c r="D82" t="s">
        <v>1168</v>
      </c>
      <c r="E82">
        <f t="shared" si="1"/>
        <v>42000010</v>
      </c>
    </row>
    <row r="83" spans="1:5" x14ac:dyDescent="0.45">
      <c r="A83">
        <v>51000050</v>
      </c>
      <c r="B83" t="s">
        <v>1173</v>
      </c>
      <c r="C83">
        <v>45000010</v>
      </c>
      <c r="D83" t="s">
        <v>1169</v>
      </c>
      <c r="E83">
        <f t="shared" si="1"/>
        <v>45000010</v>
      </c>
    </row>
    <row r="84" spans="1:5" x14ac:dyDescent="0.45">
      <c r="A84">
        <v>51000060</v>
      </c>
      <c r="B84" t="s">
        <v>1174</v>
      </c>
      <c r="C84">
        <v>45000030</v>
      </c>
      <c r="D84" t="s">
        <v>1170</v>
      </c>
      <c r="E84">
        <f t="shared" si="1"/>
        <v>45000030</v>
      </c>
    </row>
    <row r="85" spans="1:5" x14ac:dyDescent="0.45">
      <c r="A85">
        <v>51000070</v>
      </c>
      <c r="B85" t="s">
        <v>1175</v>
      </c>
      <c r="C85">
        <v>51000010</v>
      </c>
      <c r="D85" t="s">
        <v>1171</v>
      </c>
      <c r="E85">
        <f t="shared" si="1"/>
        <v>51000010</v>
      </c>
    </row>
    <row r="86" spans="1:5" x14ac:dyDescent="0.45">
      <c r="A86">
        <v>51000071</v>
      </c>
      <c r="B86" t="s">
        <v>1176</v>
      </c>
      <c r="C86">
        <v>51000040</v>
      </c>
      <c r="D86" t="s">
        <v>1172</v>
      </c>
      <c r="E86">
        <f t="shared" si="1"/>
        <v>51000040</v>
      </c>
    </row>
    <row r="87" spans="1:5" x14ac:dyDescent="0.45">
      <c r="A87">
        <v>51000072</v>
      </c>
      <c r="B87" t="s">
        <v>1177</v>
      </c>
      <c r="C87">
        <v>51000050</v>
      </c>
      <c r="D87" t="s">
        <v>1173</v>
      </c>
      <c r="E87">
        <f t="shared" si="1"/>
        <v>51000050</v>
      </c>
    </row>
    <row r="88" spans="1:5" x14ac:dyDescent="0.45">
      <c r="A88">
        <v>51000090</v>
      </c>
      <c r="B88" t="s">
        <v>1178</v>
      </c>
      <c r="C88">
        <v>51000060</v>
      </c>
      <c r="D88" t="s">
        <v>1174</v>
      </c>
      <c r="E88">
        <f t="shared" si="1"/>
        <v>51000060</v>
      </c>
    </row>
    <row r="89" spans="1:5" x14ac:dyDescent="0.45">
      <c r="A89">
        <v>51000100</v>
      </c>
      <c r="B89" t="s">
        <v>1179</v>
      </c>
      <c r="C89">
        <v>51000070</v>
      </c>
      <c r="D89" t="s">
        <v>1175</v>
      </c>
      <c r="E89">
        <f t="shared" si="1"/>
        <v>51000070</v>
      </c>
    </row>
    <row r="90" spans="1:5" x14ac:dyDescent="0.45">
      <c r="A90">
        <v>51000110</v>
      </c>
      <c r="B90" t="s">
        <v>1180</v>
      </c>
      <c r="C90">
        <v>51000071</v>
      </c>
      <c r="D90" t="s">
        <v>1176</v>
      </c>
      <c r="E90">
        <f t="shared" si="1"/>
        <v>51000071</v>
      </c>
    </row>
    <row r="91" spans="1:5" x14ac:dyDescent="0.45">
      <c r="A91">
        <v>51000120</v>
      </c>
      <c r="B91" t="s">
        <v>1181</v>
      </c>
      <c r="C91">
        <v>51000072</v>
      </c>
      <c r="D91" t="s">
        <v>1177</v>
      </c>
      <c r="E91">
        <f t="shared" si="1"/>
        <v>51000072</v>
      </c>
    </row>
    <row r="92" spans="1:5" x14ac:dyDescent="0.45">
      <c r="A92">
        <v>51000121</v>
      </c>
      <c r="B92" t="s">
        <v>1181</v>
      </c>
      <c r="C92">
        <v>51000090</v>
      </c>
      <c r="D92" t="s">
        <v>1178</v>
      </c>
      <c r="E92">
        <f t="shared" si="1"/>
        <v>51000090</v>
      </c>
    </row>
    <row r="93" spans="1:5" x14ac:dyDescent="0.45">
      <c r="A93">
        <v>51000122</v>
      </c>
      <c r="B93" t="s">
        <v>1181</v>
      </c>
      <c r="C93">
        <v>51000100</v>
      </c>
      <c r="D93" t="s">
        <v>1179</v>
      </c>
      <c r="E93">
        <f t="shared" si="1"/>
        <v>51000100</v>
      </c>
    </row>
    <row r="94" spans="1:5" x14ac:dyDescent="0.45">
      <c r="A94">
        <v>51000125</v>
      </c>
      <c r="B94" t="s">
        <v>1182</v>
      </c>
      <c r="C94">
        <v>51000110</v>
      </c>
      <c r="D94" t="s">
        <v>1180</v>
      </c>
      <c r="E94">
        <f t="shared" si="1"/>
        <v>51000110</v>
      </c>
    </row>
    <row r="95" spans="1:5" x14ac:dyDescent="0.45">
      <c r="A95">
        <v>51000140</v>
      </c>
      <c r="B95" t="s">
        <v>1183</v>
      </c>
      <c r="C95">
        <v>51000120</v>
      </c>
      <c r="D95" t="s">
        <v>1181</v>
      </c>
      <c r="E95">
        <f t="shared" si="1"/>
        <v>51000120</v>
      </c>
    </row>
    <row r="96" spans="1:5" x14ac:dyDescent="0.45">
      <c r="A96">
        <v>51000230</v>
      </c>
      <c r="B96" t="s">
        <v>1184</v>
      </c>
      <c r="C96">
        <v>51000121</v>
      </c>
      <c r="D96" t="s">
        <v>1181</v>
      </c>
      <c r="E96">
        <f t="shared" si="1"/>
        <v>51000121</v>
      </c>
    </row>
    <row r="97" spans="1:5" x14ac:dyDescent="0.45">
      <c r="A97">
        <v>52000180</v>
      </c>
      <c r="B97" t="s">
        <v>1185</v>
      </c>
      <c r="C97">
        <v>51000122</v>
      </c>
      <c r="D97" t="s">
        <v>1181</v>
      </c>
      <c r="E97">
        <f t="shared" si="1"/>
        <v>51000122</v>
      </c>
    </row>
    <row r="98" spans="1:5" x14ac:dyDescent="0.45">
      <c r="A98">
        <v>54000040</v>
      </c>
      <c r="B98" t="s">
        <v>1186</v>
      </c>
      <c r="C98">
        <v>51000125</v>
      </c>
      <c r="D98" t="s">
        <v>1182</v>
      </c>
      <c r="E98">
        <f t="shared" si="1"/>
        <v>51000125</v>
      </c>
    </row>
    <row r="99" spans="1:5" x14ac:dyDescent="0.45">
      <c r="A99">
        <v>55000020</v>
      </c>
      <c r="B99" t="s">
        <v>1187</v>
      </c>
      <c r="C99">
        <v>51000140</v>
      </c>
      <c r="D99" t="s">
        <v>1183</v>
      </c>
      <c r="E99">
        <f t="shared" si="1"/>
        <v>51000140</v>
      </c>
    </row>
    <row r="100" spans="1:5" x14ac:dyDescent="0.45">
      <c r="A100">
        <v>61100030</v>
      </c>
      <c r="B100" t="s">
        <v>1188</v>
      </c>
      <c r="C100">
        <v>51000230</v>
      </c>
      <c r="D100" t="s">
        <v>1184</v>
      </c>
      <c r="E100">
        <f t="shared" si="1"/>
        <v>51000230</v>
      </c>
    </row>
    <row r="101" spans="1:5" x14ac:dyDescent="0.45">
      <c r="A101">
        <v>61100033</v>
      </c>
      <c r="B101" t="s">
        <v>1189</v>
      </c>
      <c r="C101">
        <v>51000250</v>
      </c>
      <c r="D101" t="s">
        <v>1559</v>
      </c>
      <c r="E101" t="e">
        <f t="shared" si="1"/>
        <v>#N/A</v>
      </c>
    </row>
    <row r="102" spans="1:5" x14ac:dyDescent="0.45">
      <c r="A102">
        <v>61100040</v>
      </c>
      <c r="B102" t="s">
        <v>1190</v>
      </c>
      <c r="C102">
        <v>52000180</v>
      </c>
      <c r="D102" t="s">
        <v>1185</v>
      </c>
      <c r="E102">
        <f t="shared" si="1"/>
        <v>52000180</v>
      </c>
    </row>
    <row r="103" spans="1:5" x14ac:dyDescent="0.45">
      <c r="A103">
        <v>61100080</v>
      </c>
      <c r="B103" t="s">
        <v>1191</v>
      </c>
      <c r="C103">
        <v>54000040</v>
      </c>
      <c r="D103" t="s">
        <v>1186</v>
      </c>
      <c r="E103">
        <f t="shared" si="1"/>
        <v>54000040</v>
      </c>
    </row>
    <row r="104" spans="1:5" x14ac:dyDescent="0.45">
      <c r="A104">
        <v>61100090</v>
      </c>
      <c r="B104" t="s">
        <v>1192</v>
      </c>
      <c r="C104">
        <v>55000020</v>
      </c>
      <c r="D104" t="s">
        <v>1187</v>
      </c>
      <c r="E104">
        <f t="shared" si="1"/>
        <v>55000020</v>
      </c>
    </row>
    <row r="105" spans="1:5" x14ac:dyDescent="0.45">
      <c r="A105">
        <v>61100100</v>
      </c>
      <c r="B105" t="s">
        <v>1193</v>
      </c>
      <c r="C105">
        <v>61100030</v>
      </c>
      <c r="D105" t="s">
        <v>1188</v>
      </c>
      <c r="E105">
        <f t="shared" si="1"/>
        <v>61100030</v>
      </c>
    </row>
    <row r="106" spans="1:5" x14ac:dyDescent="0.45">
      <c r="A106">
        <v>61100120</v>
      </c>
      <c r="B106" t="s">
        <v>1194</v>
      </c>
      <c r="C106">
        <v>61100033</v>
      </c>
      <c r="D106" t="s">
        <v>1189</v>
      </c>
      <c r="E106">
        <f t="shared" si="1"/>
        <v>61100033</v>
      </c>
    </row>
    <row r="107" spans="1:5" x14ac:dyDescent="0.45">
      <c r="A107">
        <v>61100130</v>
      </c>
      <c r="B107" t="s">
        <v>1195</v>
      </c>
      <c r="C107">
        <v>61100040</v>
      </c>
      <c r="D107" t="s">
        <v>1190</v>
      </c>
      <c r="E107">
        <f t="shared" si="1"/>
        <v>61100040</v>
      </c>
    </row>
    <row r="108" spans="1:5" x14ac:dyDescent="0.45">
      <c r="A108">
        <v>61100140</v>
      </c>
      <c r="B108" t="s">
        <v>1196</v>
      </c>
      <c r="C108">
        <v>61100080</v>
      </c>
      <c r="D108" t="s">
        <v>1191</v>
      </c>
      <c r="E108">
        <f t="shared" si="1"/>
        <v>61100080</v>
      </c>
    </row>
    <row r="109" spans="1:5" x14ac:dyDescent="0.45">
      <c r="A109">
        <v>61100150</v>
      </c>
      <c r="B109" t="s">
        <v>1197</v>
      </c>
      <c r="C109">
        <v>61100090</v>
      </c>
      <c r="D109" t="s">
        <v>1192</v>
      </c>
      <c r="E109">
        <f t="shared" si="1"/>
        <v>61100090</v>
      </c>
    </row>
    <row r="110" spans="1:5" x14ac:dyDescent="0.45">
      <c r="A110">
        <v>61100160</v>
      </c>
      <c r="B110" t="s">
        <v>1198</v>
      </c>
      <c r="C110">
        <v>61100100</v>
      </c>
      <c r="D110" t="s">
        <v>1193</v>
      </c>
      <c r="E110">
        <f t="shared" si="1"/>
        <v>61100100</v>
      </c>
    </row>
    <row r="111" spans="1:5" x14ac:dyDescent="0.45">
      <c r="A111">
        <v>61100170</v>
      </c>
      <c r="B111" t="s">
        <v>1199</v>
      </c>
      <c r="C111">
        <v>61100120</v>
      </c>
      <c r="D111" t="s">
        <v>1194</v>
      </c>
      <c r="E111">
        <f t="shared" si="1"/>
        <v>61100120</v>
      </c>
    </row>
    <row r="112" spans="1:5" x14ac:dyDescent="0.45">
      <c r="A112">
        <v>61100200</v>
      </c>
      <c r="B112" t="s">
        <v>1200</v>
      </c>
      <c r="C112">
        <v>61100130</v>
      </c>
      <c r="D112" t="s">
        <v>1195</v>
      </c>
      <c r="E112">
        <f t="shared" si="1"/>
        <v>61100130</v>
      </c>
    </row>
    <row r="113" spans="1:5" x14ac:dyDescent="0.45">
      <c r="A113">
        <v>61100210</v>
      </c>
      <c r="B113" t="s">
        <v>1201</v>
      </c>
      <c r="C113">
        <v>61100140</v>
      </c>
      <c r="D113" t="s">
        <v>1196</v>
      </c>
      <c r="E113">
        <f t="shared" si="1"/>
        <v>61100140</v>
      </c>
    </row>
    <row r="114" spans="1:5" x14ac:dyDescent="0.45">
      <c r="A114">
        <v>61100220</v>
      </c>
      <c r="B114" t="s">
        <v>1202</v>
      </c>
      <c r="C114">
        <v>61100150</v>
      </c>
      <c r="D114" t="s">
        <v>1197</v>
      </c>
      <c r="E114">
        <f t="shared" si="1"/>
        <v>61100150</v>
      </c>
    </row>
    <row r="115" spans="1:5" x14ac:dyDescent="0.45">
      <c r="A115">
        <v>61100230</v>
      </c>
      <c r="B115" t="s">
        <v>1203</v>
      </c>
      <c r="C115">
        <v>61100160</v>
      </c>
      <c r="D115" t="s">
        <v>1198</v>
      </c>
      <c r="E115">
        <f t="shared" si="1"/>
        <v>61100160</v>
      </c>
    </row>
    <row r="116" spans="1:5" x14ac:dyDescent="0.45">
      <c r="A116">
        <v>61100240</v>
      </c>
      <c r="B116" t="s">
        <v>1204</v>
      </c>
      <c r="C116">
        <v>61100170</v>
      </c>
      <c r="D116" t="s">
        <v>1199</v>
      </c>
      <c r="E116">
        <f t="shared" si="1"/>
        <v>61100170</v>
      </c>
    </row>
    <row r="117" spans="1:5" x14ac:dyDescent="0.45">
      <c r="A117">
        <v>61100260</v>
      </c>
      <c r="B117" t="s">
        <v>1205</v>
      </c>
      <c r="C117">
        <v>61100200</v>
      </c>
      <c r="D117" t="s">
        <v>1200</v>
      </c>
      <c r="E117">
        <f t="shared" si="1"/>
        <v>61100200</v>
      </c>
    </row>
    <row r="118" spans="1:5" x14ac:dyDescent="0.45">
      <c r="A118">
        <v>61100280</v>
      </c>
      <c r="B118" t="s">
        <v>1206</v>
      </c>
      <c r="C118">
        <v>61100210</v>
      </c>
      <c r="D118" t="s">
        <v>1201</v>
      </c>
      <c r="E118">
        <f t="shared" si="1"/>
        <v>61100210</v>
      </c>
    </row>
    <row r="119" spans="1:5" x14ac:dyDescent="0.45">
      <c r="A119">
        <v>61100310</v>
      </c>
      <c r="B119" t="s">
        <v>1207</v>
      </c>
      <c r="C119">
        <v>61100220</v>
      </c>
      <c r="D119" t="s">
        <v>1202</v>
      </c>
      <c r="E119">
        <f t="shared" si="1"/>
        <v>61100220</v>
      </c>
    </row>
    <row r="120" spans="1:5" x14ac:dyDescent="0.45">
      <c r="A120">
        <v>61100313</v>
      </c>
      <c r="B120" t="s">
        <v>1208</v>
      </c>
      <c r="C120">
        <v>61100230</v>
      </c>
      <c r="D120" t="s">
        <v>1203</v>
      </c>
      <c r="E120">
        <f t="shared" si="1"/>
        <v>61100230</v>
      </c>
    </row>
    <row r="121" spans="1:5" x14ac:dyDescent="0.45">
      <c r="A121">
        <v>61100320</v>
      </c>
      <c r="B121" t="s">
        <v>1209</v>
      </c>
      <c r="C121">
        <v>61100240</v>
      </c>
      <c r="D121" t="s">
        <v>1204</v>
      </c>
      <c r="E121">
        <f t="shared" si="1"/>
        <v>61100240</v>
      </c>
    </row>
    <row r="122" spans="1:5" x14ac:dyDescent="0.45">
      <c r="A122">
        <v>61100350</v>
      </c>
      <c r="B122" t="s">
        <v>1210</v>
      </c>
      <c r="C122">
        <v>61100260</v>
      </c>
      <c r="D122" t="s">
        <v>1205</v>
      </c>
      <c r="E122">
        <f t="shared" si="1"/>
        <v>61100260</v>
      </c>
    </row>
    <row r="123" spans="1:5" x14ac:dyDescent="0.45">
      <c r="A123">
        <v>61100360</v>
      </c>
      <c r="B123" t="s">
        <v>1211</v>
      </c>
      <c r="C123">
        <v>61100280</v>
      </c>
      <c r="D123" t="s">
        <v>1206</v>
      </c>
      <c r="E123">
        <f t="shared" si="1"/>
        <v>61100280</v>
      </c>
    </row>
    <row r="124" spans="1:5" x14ac:dyDescent="0.45">
      <c r="A124">
        <v>61100370</v>
      </c>
      <c r="B124" t="s">
        <v>1212</v>
      </c>
      <c r="C124">
        <v>61100310</v>
      </c>
      <c r="D124" t="s">
        <v>1207</v>
      </c>
      <c r="E124">
        <f t="shared" si="1"/>
        <v>61100310</v>
      </c>
    </row>
    <row r="125" spans="1:5" x14ac:dyDescent="0.45">
      <c r="A125">
        <v>61100380</v>
      </c>
      <c r="B125" t="s">
        <v>1213</v>
      </c>
      <c r="C125">
        <v>61100313</v>
      </c>
      <c r="D125" t="s">
        <v>1208</v>
      </c>
      <c r="E125">
        <f t="shared" si="1"/>
        <v>61100313</v>
      </c>
    </row>
    <row r="126" spans="1:5" x14ac:dyDescent="0.45">
      <c r="A126">
        <v>61100400</v>
      </c>
      <c r="B126" t="s">
        <v>1214</v>
      </c>
      <c r="C126">
        <v>61100320</v>
      </c>
      <c r="D126" t="s">
        <v>1209</v>
      </c>
      <c r="E126">
        <f t="shared" si="1"/>
        <v>61100320</v>
      </c>
    </row>
    <row r="127" spans="1:5" x14ac:dyDescent="0.45">
      <c r="A127">
        <v>61100410</v>
      </c>
      <c r="B127" t="s">
        <v>1215</v>
      </c>
      <c r="C127">
        <v>61100350</v>
      </c>
      <c r="D127" t="s">
        <v>1210</v>
      </c>
      <c r="E127">
        <f t="shared" si="1"/>
        <v>61100350</v>
      </c>
    </row>
    <row r="128" spans="1:5" x14ac:dyDescent="0.45">
      <c r="A128">
        <v>61100420</v>
      </c>
      <c r="B128" t="s">
        <v>1216</v>
      </c>
      <c r="C128">
        <v>61100360</v>
      </c>
      <c r="D128" t="s">
        <v>1211</v>
      </c>
      <c r="E128">
        <f t="shared" si="1"/>
        <v>61100360</v>
      </c>
    </row>
    <row r="129" spans="1:5" x14ac:dyDescent="0.45">
      <c r="A129">
        <v>61100430</v>
      </c>
      <c r="B129" t="s">
        <v>1217</v>
      </c>
      <c r="C129">
        <v>61100370</v>
      </c>
      <c r="D129" t="s">
        <v>1212</v>
      </c>
      <c r="E129">
        <f t="shared" si="1"/>
        <v>61100370</v>
      </c>
    </row>
    <row r="130" spans="1:5" x14ac:dyDescent="0.45">
      <c r="A130">
        <v>61100440</v>
      </c>
      <c r="B130" t="s">
        <v>1218</v>
      </c>
      <c r="C130">
        <v>61100380</v>
      </c>
      <c r="D130" t="s">
        <v>1213</v>
      </c>
      <c r="E130">
        <f t="shared" si="1"/>
        <v>61100380</v>
      </c>
    </row>
    <row r="131" spans="1:5" x14ac:dyDescent="0.45">
      <c r="A131">
        <v>61100540</v>
      </c>
      <c r="B131" t="s">
        <v>1219</v>
      </c>
      <c r="C131">
        <v>61100400</v>
      </c>
      <c r="D131" t="s">
        <v>1214</v>
      </c>
      <c r="E131">
        <f t="shared" ref="E131:E194" si="2">VLOOKUP(C131,A:A,1,FALSE)</f>
        <v>61100400</v>
      </c>
    </row>
    <row r="132" spans="1:5" x14ac:dyDescent="0.45">
      <c r="A132">
        <v>61100570</v>
      </c>
      <c r="B132" t="s">
        <v>1220</v>
      </c>
      <c r="C132">
        <v>61100410</v>
      </c>
      <c r="D132" t="s">
        <v>1215</v>
      </c>
      <c r="E132">
        <f t="shared" si="2"/>
        <v>61100410</v>
      </c>
    </row>
    <row r="133" spans="1:5" x14ac:dyDescent="0.45">
      <c r="A133">
        <v>61100590</v>
      </c>
      <c r="B133" t="s">
        <v>1221</v>
      </c>
      <c r="C133">
        <v>61100420</v>
      </c>
      <c r="D133" t="s">
        <v>1216</v>
      </c>
      <c r="E133">
        <f t="shared" si="2"/>
        <v>61100420</v>
      </c>
    </row>
    <row r="134" spans="1:5" x14ac:dyDescent="0.45">
      <c r="A134">
        <v>61100600</v>
      </c>
      <c r="B134" t="s">
        <v>1222</v>
      </c>
      <c r="C134">
        <v>61100430</v>
      </c>
      <c r="D134" t="s">
        <v>1217</v>
      </c>
      <c r="E134">
        <f t="shared" si="2"/>
        <v>61100430</v>
      </c>
    </row>
    <row r="135" spans="1:5" x14ac:dyDescent="0.45">
      <c r="A135">
        <v>61100610</v>
      </c>
      <c r="B135" t="s">
        <v>1223</v>
      </c>
      <c r="C135">
        <v>61100440</v>
      </c>
      <c r="D135" t="s">
        <v>1218</v>
      </c>
      <c r="E135">
        <f t="shared" si="2"/>
        <v>61100440</v>
      </c>
    </row>
    <row r="136" spans="1:5" x14ac:dyDescent="0.45">
      <c r="A136">
        <v>61100620</v>
      </c>
      <c r="B136" t="s">
        <v>1224</v>
      </c>
      <c r="C136">
        <v>61100540</v>
      </c>
      <c r="D136" t="s">
        <v>1219</v>
      </c>
      <c r="E136">
        <f t="shared" si="2"/>
        <v>61100540</v>
      </c>
    </row>
    <row r="137" spans="1:5" x14ac:dyDescent="0.45">
      <c r="A137">
        <v>61100621</v>
      </c>
      <c r="B137" t="s">
        <v>1225</v>
      </c>
      <c r="C137">
        <v>61100570</v>
      </c>
      <c r="D137" t="s">
        <v>1220</v>
      </c>
      <c r="E137">
        <f t="shared" si="2"/>
        <v>61100570</v>
      </c>
    </row>
    <row r="138" spans="1:5" x14ac:dyDescent="0.45">
      <c r="A138">
        <v>61100630</v>
      </c>
      <c r="B138" t="s">
        <v>1226</v>
      </c>
      <c r="C138">
        <v>61100590</v>
      </c>
      <c r="D138" t="s">
        <v>1221</v>
      </c>
      <c r="E138">
        <f t="shared" si="2"/>
        <v>61100590</v>
      </c>
    </row>
    <row r="139" spans="1:5" x14ac:dyDescent="0.45">
      <c r="A139">
        <v>61100650</v>
      </c>
      <c r="B139" t="s">
        <v>1227</v>
      </c>
      <c r="C139">
        <v>61100600</v>
      </c>
      <c r="D139" t="s">
        <v>1222</v>
      </c>
      <c r="E139">
        <f t="shared" si="2"/>
        <v>61100600</v>
      </c>
    </row>
    <row r="140" spans="1:5" x14ac:dyDescent="0.45">
      <c r="A140">
        <v>61100660</v>
      </c>
      <c r="B140" t="s">
        <v>1228</v>
      </c>
      <c r="C140">
        <v>61100610</v>
      </c>
      <c r="D140" t="s">
        <v>1223</v>
      </c>
      <c r="E140">
        <f t="shared" si="2"/>
        <v>61100610</v>
      </c>
    </row>
    <row r="141" spans="1:5" x14ac:dyDescent="0.45">
      <c r="A141">
        <v>61100670</v>
      </c>
      <c r="B141" t="s">
        <v>1229</v>
      </c>
      <c r="C141">
        <v>61100620</v>
      </c>
      <c r="D141" t="s">
        <v>1224</v>
      </c>
      <c r="E141">
        <f t="shared" si="2"/>
        <v>61100620</v>
      </c>
    </row>
    <row r="142" spans="1:5" x14ac:dyDescent="0.45">
      <c r="A142">
        <v>61100710</v>
      </c>
      <c r="B142" t="s">
        <v>1230</v>
      </c>
      <c r="C142">
        <v>61100621</v>
      </c>
      <c r="D142" t="s">
        <v>1225</v>
      </c>
      <c r="E142">
        <f t="shared" si="2"/>
        <v>61100621</v>
      </c>
    </row>
    <row r="143" spans="1:5" x14ac:dyDescent="0.45">
      <c r="A143">
        <v>61200050</v>
      </c>
      <c r="B143" t="s">
        <v>1231</v>
      </c>
      <c r="C143">
        <v>61100630</v>
      </c>
      <c r="D143" t="s">
        <v>1226</v>
      </c>
      <c r="E143">
        <f t="shared" si="2"/>
        <v>61100630</v>
      </c>
    </row>
    <row r="144" spans="1:5" x14ac:dyDescent="0.45">
      <c r="A144">
        <v>61200060</v>
      </c>
      <c r="B144" t="s">
        <v>1232</v>
      </c>
      <c r="C144">
        <v>61100650</v>
      </c>
      <c r="D144" t="s">
        <v>1227</v>
      </c>
      <c r="E144">
        <f t="shared" si="2"/>
        <v>61100650</v>
      </c>
    </row>
    <row r="145" spans="1:5" x14ac:dyDescent="0.45">
      <c r="A145">
        <v>61200070</v>
      </c>
      <c r="B145" t="s">
        <v>1233</v>
      </c>
      <c r="C145">
        <v>61100660</v>
      </c>
      <c r="D145" t="s">
        <v>1228</v>
      </c>
      <c r="E145">
        <f t="shared" si="2"/>
        <v>61100660</v>
      </c>
    </row>
    <row r="146" spans="1:5" x14ac:dyDescent="0.45">
      <c r="A146">
        <v>61200130</v>
      </c>
      <c r="B146" t="s">
        <v>1234</v>
      </c>
      <c r="C146">
        <v>61100670</v>
      </c>
      <c r="D146" t="s">
        <v>1229</v>
      </c>
      <c r="E146">
        <f t="shared" si="2"/>
        <v>61100670</v>
      </c>
    </row>
    <row r="147" spans="1:5" x14ac:dyDescent="0.45">
      <c r="A147">
        <v>61200160</v>
      </c>
      <c r="B147" t="s">
        <v>1235</v>
      </c>
      <c r="C147">
        <v>61100710</v>
      </c>
      <c r="D147" t="s">
        <v>1230</v>
      </c>
      <c r="E147">
        <f t="shared" si="2"/>
        <v>61100710</v>
      </c>
    </row>
    <row r="148" spans="1:5" x14ac:dyDescent="0.45">
      <c r="A148">
        <v>61200180</v>
      </c>
      <c r="B148" t="s">
        <v>1236</v>
      </c>
      <c r="C148">
        <v>61200050</v>
      </c>
      <c r="D148" t="s">
        <v>1231</v>
      </c>
      <c r="E148">
        <f t="shared" si="2"/>
        <v>61200050</v>
      </c>
    </row>
    <row r="149" spans="1:5" x14ac:dyDescent="0.45">
      <c r="A149">
        <v>61200210</v>
      </c>
      <c r="B149" t="s">
        <v>1237</v>
      </c>
      <c r="C149">
        <v>61200060</v>
      </c>
      <c r="D149" t="s">
        <v>1232</v>
      </c>
      <c r="E149">
        <f t="shared" si="2"/>
        <v>61200060</v>
      </c>
    </row>
    <row r="150" spans="1:5" x14ac:dyDescent="0.45">
      <c r="A150">
        <v>61200220</v>
      </c>
      <c r="B150" t="s">
        <v>1238</v>
      </c>
      <c r="C150">
        <v>61200070</v>
      </c>
      <c r="D150" t="s">
        <v>1233</v>
      </c>
      <c r="E150">
        <f t="shared" si="2"/>
        <v>61200070</v>
      </c>
    </row>
    <row r="151" spans="1:5" x14ac:dyDescent="0.45">
      <c r="A151">
        <v>61200230</v>
      </c>
      <c r="B151" t="s">
        <v>1239</v>
      </c>
      <c r="C151">
        <v>61200130</v>
      </c>
      <c r="D151" t="s">
        <v>1234</v>
      </c>
      <c r="E151">
        <f t="shared" si="2"/>
        <v>61200130</v>
      </c>
    </row>
    <row r="152" spans="1:5" x14ac:dyDescent="0.45">
      <c r="A152">
        <v>61200250</v>
      </c>
      <c r="B152" t="s">
        <v>1240</v>
      </c>
      <c r="C152">
        <v>61200160</v>
      </c>
      <c r="D152" t="s">
        <v>1235</v>
      </c>
      <c r="E152">
        <f t="shared" si="2"/>
        <v>61200160</v>
      </c>
    </row>
    <row r="153" spans="1:5" x14ac:dyDescent="0.45">
      <c r="A153">
        <v>61300020</v>
      </c>
      <c r="B153" t="s">
        <v>1241</v>
      </c>
      <c r="C153">
        <v>61200180</v>
      </c>
      <c r="D153" t="s">
        <v>1236</v>
      </c>
      <c r="E153">
        <f t="shared" si="2"/>
        <v>61200180</v>
      </c>
    </row>
    <row r="154" spans="1:5" x14ac:dyDescent="0.45">
      <c r="A154">
        <v>61300030</v>
      </c>
      <c r="B154" t="s">
        <v>1242</v>
      </c>
      <c r="C154">
        <v>61200210</v>
      </c>
      <c r="D154" t="s">
        <v>1237</v>
      </c>
      <c r="E154">
        <f t="shared" si="2"/>
        <v>61200210</v>
      </c>
    </row>
    <row r="155" spans="1:5" x14ac:dyDescent="0.45">
      <c r="A155">
        <v>61300040</v>
      </c>
      <c r="B155" t="s">
        <v>1243</v>
      </c>
      <c r="C155">
        <v>61200220</v>
      </c>
      <c r="D155" t="s">
        <v>1238</v>
      </c>
      <c r="E155">
        <f t="shared" si="2"/>
        <v>61200220</v>
      </c>
    </row>
    <row r="156" spans="1:5" x14ac:dyDescent="0.45">
      <c r="A156">
        <v>61300060</v>
      </c>
      <c r="B156" t="s">
        <v>1244</v>
      </c>
      <c r="C156">
        <v>61200230</v>
      </c>
      <c r="D156" t="s">
        <v>1239</v>
      </c>
      <c r="E156">
        <f t="shared" si="2"/>
        <v>61200230</v>
      </c>
    </row>
    <row r="157" spans="1:5" x14ac:dyDescent="0.45">
      <c r="A157">
        <v>61300070</v>
      </c>
      <c r="B157" t="s">
        <v>1245</v>
      </c>
      <c r="C157">
        <v>61200250</v>
      </c>
      <c r="D157" t="s">
        <v>1240</v>
      </c>
      <c r="E157">
        <f t="shared" si="2"/>
        <v>61200250</v>
      </c>
    </row>
    <row r="158" spans="1:5" x14ac:dyDescent="0.45">
      <c r="A158">
        <v>61300080</v>
      </c>
      <c r="B158" t="s">
        <v>1246</v>
      </c>
      <c r="C158">
        <v>61300020</v>
      </c>
      <c r="D158" t="s">
        <v>1241</v>
      </c>
      <c r="E158">
        <f t="shared" si="2"/>
        <v>61300020</v>
      </c>
    </row>
    <row r="159" spans="1:5" x14ac:dyDescent="0.45">
      <c r="A159">
        <v>61300130</v>
      </c>
      <c r="B159" t="s">
        <v>1247</v>
      </c>
      <c r="C159">
        <v>61300030</v>
      </c>
      <c r="D159" t="s">
        <v>1242</v>
      </c>
      <c r="E159">
        <f t="shared" si="2"/>
        <v>61300030</v>
      </c>
    </row>
    <row r="160" spans="1:5" x14ac:dyDescent="0.45">
      <c r="A160">
        <v>61300150</v>
      </c>
      <c r="B160" t="s">
        <v>1248</v>
      </c>
      <c r="C160">
        <v>61300040</v>
      </c>
      <c r="D160" t="s">
        <v>1243</v>
      </c>
      <c r="E160">
        <f t="shared" si="2"/>
        <v>61300040</v>
      </c>
    </row>
    <row r="161" spans="1:5" x14ac:dyDescent="0.45">
      <c r="A161">
        <v>61300160</v>
      </c>
      <c r="B161" t="s">
        <v>1249</v>
      </c>
      <c r="C161">
        <v>61300060</v>
      </c>
      <c r="D161" t="s">
        <v>1244</v>
      </c>
      <c r="E161">
        <f t="shared" si="2"/>
        <v>61300060</v>
      </c>
    </row>
    <row r="162" spans="1:5" x14ac:dyDescent="0.45">
      <c r="A162">
        <v>61400040</v>
      </c>
      <c r="B162" t="s">
        <v>1250</v>
      </c>
      <c r="C162">
        <v>61300070</v>
      </c>
      <c r="D162" t="s">
        <v>1245</v>
      </c>
      <c r="E162">
        <f t="shared" si="2"/>
        <v>61300070</v>
      </c>
    </row>
    <row r="163" spans="1:5" x14ac:dyDescent="0.45">
      <c r="A163">
        <v>61400045</v>
      </c>
      <c r="B163" t="s">
        <v>1251</v>
      </c>
      <c r="C163">
        <v>61300080</v>
      </c>
      <c r="D163" t="s">
        <v>1246</v>
      </c>
      <c r="E163">
        <f t="shared" si="2"/>
        <v>61300080</v>
      </c>
    </row>
    <row r="164" spans="1:5" x14ac:dyDescent="0.45">
      <c r="A164">
        <v>61400050</v>
      </c>
      <c r="B164" t="s">
        <v>1252</v>
      </c>
      <c r="C164">
        <v>61300130</v>
      </c>
      <c r="D164" t="s">
        <v>1247</v>
      </c>
      <c r="E164">
        <f t="shared" si="2"/>
        <v>61300130</v>
      </c>
    </row>
    <row r="165" spans="1:5" x14ac:dyDescent="0.45">
      <c r="A165">
        <v>61400055</v>
      </c>
      <c r="B165" t="s">
        <v>1253</v>
      </c>
      <c r="C165">
        <v>61300150</v>
      </c>
      <c r="D165" t="s">
        <v>1248</v>
      </c>
      <c r="E165">
        <f t="shared" si="2"/>
        <v>61300150</v>
      </c>
    </row>
    <row r="166" spans="1:5" x14ac:dyDescent="0.45">
      <c r="A166">
        <v>61400060</v>
      </c>
      <c r="B166" t="s">
        <v>1254</v>
      </c>
      <c r="C166">
        <v>61300160</v>
      </c>
      <c r="D166" t="s">
        <v>1249</v>
      </c>
      <c r="E166">
        <f t="shared" si="2"/>
        <v>61300160</v>
      </c>
    </row>
    <row r="167" spans="1:5" x14ac:dyDescent="0.45">
      <c r="A167">
        <v>61400070</v>
      </c>
      <c r="B167" t="s">
        <v>1255</v>
      </c>
      <c r="C167">
        <v>61400040</v>
      </c>
      <c r="D167" t="s">
        <v>1250</v>
      </c>
      <c r="E167">
        <f t="shared" si="2"/>
        <v>61400040</v>
      </c>
    </row>
    <row r="168" spans="1:5" x14ac:dyDescent="0.45">
      <c r="A168">
        <v>61400110</v>
      </c>
      <c r="B168" t="s">
        <v>1256</v>
      </c>
      <c r="C168">
        <v>61400045</v>
      </c>
      <c r="D168" t="s">
        <v>1251</v>
      </c>
      <c r="E168">
        <f t="shared" si="2"/>
        <v>61400045</v>
      </c>
    </row>
    <row r="169" spans="1:5" x14ac:dyDescent="0.45">
      <c r="A169">
        <v>61400130</v>
      </c>
      <c r="B169" t="s">
        <v>1257</v>
      </c>
      <c r="C169">
        <v>61400050</v>
      </c>
      <c r="D169" t="s">
        <v>1252</v>
      </c>
      <c r="E169">
        <f t="shared" si="2"/>
        <v>61400050</v>
      </c>
    </row>
    <row r="170" spans="1:5" x14ac:dyDescent="0.45">
      <c r="A170">
        <v>61700010</v>
      </c>
      <c r="B170" t="s">
        <v>1258</v>
      </c>
      <c r="C170">
        <v>61400055</v>
      </c>
      <c r="D170" t="s">
        <v>1253</v>
      </c>
      <c r="E170">
        <f t="shared" si="2"/>
        <v>61400055</v>
      </c>
    </row>
    <row r="171" spans="1:5" x14ac:dyDescent="0.45">
      <c r="A171">
        <v>61700020</v>
      </c>
      <c r="B171" t="s">
        <v>1259</v>
      </c>
      <c r="C171">
        <v>61400060</v>
      </c>
      <c r="D171" t="s">
        <v>1254</v>
      </c>
      <c r="E171">
        <f t="shared" si="2"/>
        <v>61400060</v>
      </c>
    </row>
    <row r="172" spans="1:5" x14ac:dyDescent="0.45">
      <c r="A172">
        <v>61700030</v>
      </c>
      <c r="B172" t="s">
        <v>1260</v>
      </c>
      <c r="C172">
        <v>61400070</v>
      </c>
      <c r="D172" t="s">
        <v>1255</v>
      </c>
      <c r="E172">
        <f t="shared" si="2"/>
        <v>61400070</v>
      </c>
    </row>
    <row r="173" spans="1:5" x14ac:dyDescent="0.45">
      <c r="A173">
        <v>61700040</v>
      </c>
      <c r="B173" t="s">
        <v>1261</v>
      </c>
      <c r="C173">
        <v>61400110</v>
      </c>
      <c r="D173" t="s">
        <v>1256</v>
      </c>
      <c r="E173">
        <f t="shared" si="2"/>
        <v>61400110</v>
      </c>
    </row>
    <row r="174" spans="1:5" x14ac:dyDescent="0.45">
      <c r="A174">
        <v>61700050</v>
      </c>
      <c r="B174" t="s">
        <v>1262</v>
      </c>
      <c r="C174">
        <v>61400130</v>
      </c>
      <c r="D174" t="s">
        <v>1257</v>
      </c>
      <c r="E174">
        <f t="shared" si="2"/>
        <v>61400130</v>
      </c>
    </row>
    <row r="175" spans="1:5" x14ac:dyDescent="0.45">
      <c r="A175">
        <v>61700060</v>
      </c>
      <c r="B175" t="s">
        <v>1263</v>
      </c>
      <c r="C175">
        <v>61700010</v>
      </c>
      <c r="D175" t="s">
        <v>1258</v>
      </c>
      <c r="E175">
        <f t="shared" si="2"/>
        <v>61700010</v>
      </c>
    </row>
    <row r="176" spans="1:5" x14ac:dyDescent="0.45">
      <c r="A176">
        <v>61700070</v>
      </c>
      <c r="B176" t="s">
        <v>1264</v>
      </c>
      <c r="C176">
        <v>61700020</v>
      </c>
      <c r="D176" t="s">
        <v>1259</v>
      </c>
      <c r="E176">
        <f t="shared" si="2"/>
        <v>61700020</v>
      </c>
    </row>
    <row r="177" spans="1:5" x14ac:dyDescent="0.45">
      <c r="A177">
        <v>61700080</v>
      </c>
      <c r="B177" t="s">
        <v>1265</v>
      </c>
      <c r="C177">
        <v>61700030</v>
      </c>
      <c r="D177" t="s">
        <v>1260</v>
      </c>
      <c r="E177">
        <f t="shared" si="2"/>
        <v>61700030</v>
      </c>
    </row>
    <row r="178" spans="1:5" x14ac:dyDescent="0.45">
      <c r="A178">
        <v>61700090</v>
      </c>
      <c r="B178" t="s">
        <v>1266</v>
      </c>
      <c r="C178">
        <v>61700040</v>
      </c>
      <c r="D178" t="s">
        <v>1261</v>
      </c>
      <c r="E178">
        <f t="shared" si="2"/>
        <v>61700040</v>
      </c>
    </row>
    <row r="179" spans="1:5" x14ac:dyDescent="0.45">
      <c r="A179">
        <v>61700100</v>
      </c>
      <c r="B179" t="s">
        <v>1267</v>
      </c>
      <c r="C179">
        <v>61700050</v>
      </c>
      <c r="D179" t="s">
        <v>1262</v>
      </c>
      <c r="E179">
        <f t="shared" si="2"/>
        <v>61700050</v>
      </c>
    </row>
    <row r="180" spans="1:5" x14ac:dyDescent="0.45">
      <c r="A180">
        <v>61700120</v>
      </c>
      <c r="B180" t="s">
        <v>1268</v>
      </c>
      <c r="C180">
        <v>61700060</v>
      </c>
      <c r="D180" t="s">
        <v>1263</v>
      </c>
      <c r="E180">
        <f t="shared" si="2"/>
        <v>61700060</v>
      </c>
    </row>
    <row r="181" spans="1:5" x14ac:dyDescent="0.45">
      <c r="A181">
        <v>61700130</v>
      </c>
      <c r="B181" t="s">
        <v>1269</v>
      </c>
      <c r="C181">
        <v>61700070</v>
      </c>
      <c r="D181" t="s">
        <v>1264</v>
      </c>
      <c r="E181">
        <f t="shared" si="2"/>
        <v>61700070</v>
      </c>
    </row>
    <row r="182" spans="1:5" x14ac:dyDescent="0.45">
      <c r="A182">
        <v>61700140</v>
      </c>
      <c r="B182" t="s">
        <v>1270</v>
      </c>
      <c r="C182">
        <v>61700080</v>
      </c>
      <c r="D182" t="s">
        <v>1265</v>
      </c>
      <c r="E182">
        <f t="shared" si="2"/>
        <v>61700080</v>
      </c>
    </row>
    <row r="183" spans="1:5" x14ac:dyDescent="0.45">
      <c r="A183">
        <v>61700160</v>
      </c>
      <c r="B183" t="s">
        <v>1271</v>
      </c>
      <c r="C183">
        <v>61700090</v>
      </c>
      <c r="D183" t="s">
        <v>1266</v>
      </c>
      <c r="E183">
        <f t="shared" si="2"/>
        <v>61700090</v>
      </c>
    </row>
    <row r="184" spans="1:5" x14ac:dyDescent="0.45">
      <c r="A184">
        <v>61700180</v>
      </c>
      <c r="B184" t="s">
        <v>1272</v>
      </c>
      <c r="C184">
        <v>61700100</v>
      </c>
      <c r="D184" t="s">
        <v>1267</v>
      </c>
      <c r="E184">
        <f t="shared" si="2"/>
        <v>61700100</v>
      </c>
    </row>
    <row r="185" spans="1:5" x14ac:dyDescent="0.45">
      <c r="A185">
        <v>61700190</v>
      </c>
      <c r="B185" t="s">
        <v>1273</v>
      </c>
      <c r="C185">
        <v>61700120</v>
      </c>
      <c r="D185" t="s">
        <v>1268</v>
      </c>
      <c r="E185">
        <f t="shared" si="2"/>
        <v>61700120</v>
      </c>
    </row>
    <row r="186" spans="1:5" x14ac:dyDescent="0.45">
      <c r="A186">
        <v>61700200</v>
      </c>
      <c r="B186" t="s">
        <v>1274</v>
      </c>
      <c r="C186">
        <v>61700130</v>
      </c>
      <c r="D186" t="s">
        <v>1269</v>
      </c>
      <c r="E186">
        <f t="shared" si="2"/>
        <v>61700130</v>
      </c>
    </row>
    <row r="187" spans="1:5" x14ac:dyDescent="0.45">
      <c r="A187">
        <v>61700220</v>
      </c>
      <c r="B187" t="s">
        <v>1275</v>
      </c>
      <c r="C187">
        <v>61700140</v>
      </c>
      <c r="D187" t="s">
        <v>1270</v>
      </c>
      <c r="E187">
        <f t="shared" si="2"/>
        <v>61700140</v>
      </c>
    </row>
    <row r="188" spans="1:5" x14ac:dyDescent="0.45">
      <c r="A188">
        <v>61700230</v>
      </c>
      <c r="B188" t="s">
        <v>1276</v>
      </c>
      <c r="C188">
        <v>61700160</v>
      </c>
      <c r="D188" t="s">
        <v>1271</v>
      </c>
      <c r="E188">
        <f t="shared" si="2"/>
        <v>61700160</v>
      </c>
    </row>
    <row r="189" spans="1:5" x14ac:dyDescent="0.45">
      <c r="A189">
        <v>61700240</v>
      </c>
      <c r="B189" t="s">
        <v>1277</v>
      </c>
      <c r="C189">
        <v>61700180</v>
      </c>
      <c r="D189" t="s">
        <v>1272</v>
      </c>
      <c r="E189">
        <f t="shared" si="2"/>
        <v>61700180</v>
      </c>
    </row>
    <row r="190" spans="1:5" x14ac:dyDescent="0.45">
      <c r="A190">
        <v>61700250</v>
      </c>
      <c r="B190" t="s">
        <v>1278</v>
      </c>
      <c r="C190">
        <v>61700190</v>
      </c>
      <c r="D190" t="s">
        <v>1273</v>
      </c>
      <c r="E190">
        <f t="shared" si="2"/>
        <v>61700190</v>
      </c>
    </row>
    <row r="191" spans="1:5" x14ac:dyDescent="0.45">
      <c r="A191">
        <v>61700260</v>
      </c>
      <c r="B191" t="s">
        <v>1279</v>
      </c>
      <c r="C191">
        <v>61700200</v>
      </c>
      <c r="D191" t="s">
        <v>1274</v>
      </c>
      <c r="E191">
        <f t="shared" si="2"/>
        <v>61700200</v>
      </c>
    </row>
    <row r="192" spans="1:5" x14ac:dyDescent="0.45">
      <c r="A192">
        <v>61700270</v>
      </c>
      <c r="B192" t="s">
        <v>1280</v>
      </c>
      <c r="C192">
        <v>61700220</v>
      </c>
      <c r="D192" t="s">
        <v>1275</v>
      </c>
      <c r="E192">
        <f t="shared" si="2"/>
        <v>61700220</v>
      </c>
    </row>
    <row r="193" spans="1:5" x14ac:dyDescent="0.45">
      <c r="A193">
        <v>61700280</v>
      </c>
      <c r="B193" t="s">
        <v>1281</v>
      </c>
      <c r="C193">
        <v>61700230</v>
      </c>
      <c r="D193" t="s">
        <v>1276</v>
      </c>
      <c r="E193">
        <f t="shared" si="2"/>
        <v>61700230</v>
      </c>
    </row>
    <row r="194" spans="1:5" x14ac:dyDescent="0.45">
      <c r="A194">
        <v>61700290</v>
      </c>
      <c r="B194" t="s">
        <v>1282</v>
      </c>
      <c r="C194">
        <v>61700240</v>
      </c>
      <c r="D194" t="s">
        <v>1277</v>
      </c>
      <c r="E194">
        <f t="shared" si="2"/>
        <v>61700240</v>
      </c>
    </row>
    <row r="195" spans="1:5" x14ac:dyDescent="0.45">
      <c r="A195">
        <v>61700300</v>
      </c>
      <c r="B195" t="s">
        <v>1283</v>
      </c>
      <c r="C195">
        <v>61700250</v>
      </c>
      <c r="D195" t="s">
        <v>1278</v>
      </c>
      <c r="E195">
        <f t="shared" ref="E195:E238" si="3">VLOOKUP(C195,A:A,1,FALSE)</f>
        <v>61700250</v>
      </c>
    </row>
    <row r="196" spans="1:5" x14ac:dyDescent="0.45">
      <c r="A196">
        <v>61700310</v>
      </c>
      <c r="B196" t="s">
        <v>1284</v>
      </c>
      <c r="C196">
        <v>61700260</v>
      </c>
      <c r="D196" t="s">
        <v>1279</v>
      </c>
      <c r="E196">
        <f t="shared" si="3"/>
        <v>61700260</v>
      </c>
    </row>
    <row r="197" spans="1:5" x14ac:dyDescent="0.45">
      <c r="A197">
        <v>61700320</v>
      </c>
      <c r="B197" t="s">
        <v>1285</v>
      </c>
      <c r="C197">
        <v>61700270</v>
      </c>
      <c r="D197" t="s">
        <v>1280</v>
      </c>
      <c r="E197">
        <f t="shared" si="3"/>
        <v>61700270</v>
      </c>
    </row>
    <row r="198" spans="1:5" x14ac:dyDescent="0.45">
      <c r="A198">
        <v>61700330</v>
      </c>
      <c r="B198" t="s">
        <v>1286</v>
      </c>
      <c r="C198">
        <v>61700280</v>
      </c>
      <c r="D198" t="s">
        <v>1281</v>
      </c>
      <c r="E198">
        <f t="shared" si="3"/>
        <v>61700280</v>
      </c>
    </row>
    <row r="199" spans="1:5" x14ac:dyDescent="0.45">
      <c r="A199">
        <v>61700340</v>
      </c>
      <c r="B199" t="s">
        <v>1287</v>
      </c>
      <c r="C199">
        <v>61700290</v>
      </c>
      <c r="D199" t="s">
        <v>1282</v>
      </c>
      <c r="E199">
        <f t="shared" si="3"/>
        <v>61700290</v>
      </c>
    </row>
    <row r="200" spans="1:5" x14ac:dyDescent="0.45">
      <c r="A200">
        <v>61700360</v>
      </c>
      <c r="B200" t="s">
        <v>1288</v>
      </c>
      <c r="C200">
        <v>61700300</v>
      </c>
      <c r="D200" t="s">
        <v>1283</v>
      </c>
      <c r="E200">
        <f t="shared" si="3"/>
        <v>61700300</v>
      </c>
    </row>
    <row r="201" spans="1:5" x14ac:dyDescent="0.45">
      <c r="A201">
        <v>61700370</v>
      </c>
      <c r="B201" t="s">
        <v>1289</v>
      </c>
      <c r="C201">
        <v>61700310</v>
      </c>
      <c r="D201" t="s">
        <v>1284</v>
      </c>
      <c r="E201">
        <f t="shared" si="3"/>
        <v>61700310</v>
      </c>
    </row>
    <row r="202" spans="1:5" x14ac:dyDescent="0.45">
      <c r="A202">
        <v>61700380</v>
      </c>
      <c r="B202" t="s">
        <v>1290</v>
      </c>
      <c r="C202">
        <v>61700320</v>
      </c>
      <c r="D202" t="s">
        <v>1285</v>
      </c>
      <c r="E202">
        <f t="shared" si="3"/>
        <v>61700320</v>
      </c>
    </row>
    <row r="203" spans="1:5" x14ac:dyDescent="0.45">
      <c r="A203">
        <v>61700390</v>
      </c>
      <c r="B203" t="s">
        <v>1291</v>
      </c>
      <c r="C203">
        <v>61700330</v>
      </c>
      <c r="D203" t="s">
        <v>1286</v>
      </c>
      <c r="E203">
        <f t="shared" si="3"/>
        <v>61700330</v>
      </c>
    </row>
    <row r="204" spans="1:5" x14ac:dyDescent="0.45">
      <c r="A204">
        <v>61700410</v>
      </c>
      <c r="B204" t="s">
        <v>1292</v>
      </c>
      <c r="C204">
        <v>61700340</v>
      </c>
      <c r="D204" t="s">
        <v>1287</v>
      </c>
      <c r="E204">
        <f t="shared" si="3"/>
        <v>61700340</v>
      </c>
    </row>
    <row r="205" spans="1:5" x14ac:dyDescent="0.45">
      <c r="A205">
        <v>61700420</v>
      </c>
      <c r="B205" t="s">
        <v>1293</v>
      </c>
      <c r="C205">
        <v>61700360</v>
      </c>
      <c r="D205" t="s">
        <v>1288</v>
      </c>
      <c r="E205">
        <f t="shared" si="3"/>
        <v>61700360</v>
      </c>
    </row>
    <row r="206" spans="1:5" x14ac:dyDescent="0.45">
      <c r="A206">
        <v>61700430</v>
      </c>
      <c r="B206" t="s">
        <v>1294</v>
      </c>
      <c r="C206">
        <v>61700370</v>
      </c>
      <c r="D206" t="s">
        <v>1289</v>
      </c>
      <c r="E206">
        <f t="shared" si="3"/>
        <v>61700370</v>
      </c>
    </row>
    <row r="207" spans="1:5" x14ac:dyDescent="0.45">
      <c r="A207">
        <v>61700440</v>
      </c>
      <c r="B207" t="s">
        <v>1295</v>
      </c>
      <c r="C207">
        <v>61700380</v>
      </c>
      <c r="D207" t="s">
        <v>1290</v>
      </c>
      <c r="E207">
        <f t="shared" si="3"/>
        <v>61700380</v>
      </c>
    </row>
    <row r="208" spans="1:5" x14ac:dyDescent="0.45">
      <c r="A208">
        <v>61700460</v>
      </c>
      <c r="B208" t="s">
        <v>1296</v>
      </c>
      <c r="C208">
        <v>61700390</v>
      </c>
      <c r="D208" t="s">
        <v>1291</v>
      </c>
      <c r="E208">
        <f t="shared" si="3"/>
        <v>61700390</v>
      </c>
    </row>
    <row r="209" spans="1:5" x14ac:dyDescent="0.45">
      <c r="A209">
        <v>61700490</v>
      </c>
      <c r="B209" t="s">
        <v>1297</v>
      </c>
      <c r="C209">
        <v>61700400</v>
      </c>
      <c r="D209" t="s">
        <v>1560</v>
      </c>
      <c r="E209" t="e">
        <f t="shared" si="3"/>
        <v>#N/A</v>
      </c>
    </row>
    <row r="210" spans="1:5" x14ac:dyDescent="0.45">
      <c r="A210">
        <v>61700500</v>
      </c>
      <c r="B210" t="s">
        <v>1298</v>
      </c>
      <c r="C210">
        <v>61700410</v>
      </c>
      <c r="D210" t="s">
        <v>1292</v>
      </c>
      <c r="E210">
        <f t="shared" si="3"/>
        <v>61700410</v>
      </c>
    </row>
    <row r="211" spans="1:5" x14ac:dyDescent="0.45">
      <c r="A211">
        <v>61700510</v>
      </c>
      <c r="B211" t="s">
        <v>1299</v>
      </c>
      <c r="C211">
        <v>61700420</v>
      </c>
      <c r="D211" t="s">
        <v>1293</v>
      </c>
      <c r="E211">
        <f t="shared" si="3"/>
        <v>61700420</v>
      </c>
    </row>
    <row r="212" spans="1:5" x14ac:dyDescent="0.45">
      <c r="A212">
        <v>61700520</v>
      </c>
      <c r="B212" t="s">
        <v>1300</v>
      </c>
      <c r="C212">
        <v>61700430</v>
      </c>
      <c r="D212" t="s">
        <v>1294</v>
      </c>
      <c r="E212">
        <f t="shared" si="3"/>
        <v>61700430</v>
      </c>
    </row>
    <row r="213" spans="1:5" x14ac:dyDescent="0.45">
      <c r="A213">
        <v>61700530</v>
      </c>
      <c r="B213" t="s">
        <v>1301</v>
      </c>
      <c r="C213">
        <v>61700440</v>
      </c>
      <c r="D213" t="s">
        <v>1295</v>
      </c>
      <c r="E213">
        <f t="shared" si="3"/>
        <v>61700440</v>
      </c>
    </row>
    <row r="214" spans="1:5" x14ac:dyDescent="0.45">
      <c r="A214">
        <v>61700540</v>
      </c>
      <c r="B214" t="s">
        <v>1302</v>
      </c>
      <c r="C214">
        <v>61700460</v>
      </c>
      <c r="D214" t="s">
        <v>1296</v>
      </c>
      <c r="E214">
        <f t="shared" si="3"/>
        <v>61700460</v>
      </c>
    </row>
    <row r="215" spans="1:5" x14ac:dyDescent="0.45">
      <c r="A215">
        <v>61700580</v>
      </c>
      <c r="B215" t="s">
        <v>1303</v>
      </c>
      <c r="C215">
        <v>61700490</v>
      </c>
      <c r="D215" t="s">
        <v>1297</v>
      </c>
      <c r="E215">
        <f t="shared" si="3"/>
        <v>61700490</v>
      </c>
    </row>
    <row r="216" spans="1:5" x14ac:dyDescent="0.45">
      <c r="A216">
        <v>61700590</v>
      </c>
      <c r="B216" t="s">
        <v>1304</v>
      </c>
      <c r="C216">
        <v>61700500</v>
      </c>
      <c r="D216" t="s">
        <v>1298</v>
      </c>
      <c r="E216">
        <f t="shared" si="3"/>
        <v>61700500</v>
      </c>
    </row>
    <row r="217" spans="1:5" x14ac:dyDescent="0.45">
      <c r="A217">
        <v>62000020</v>
      </c>
      <c r="B217" t="s">
        <v>1305</v>
      </c>
      <c r="C217">
        <v>61700510</v>
      </c>
      <c r="D217" t="s">
        <v>1299</v>
      </c>
      <c r="E217">
        <f t="shared" si="3"/>
        <v>61700510</v>
      </c>
    </row>
    <row r="218" spans="1:5" x14ac:dyDescent="0.45">
      <c r="A218">
        <v>62000030</v>
      </c>
      <c r="B218" t="s">
        <v>1306</v>
      </c>
      <c r="C218">
        <v>61700520</v>
      </c>
      <c r="D218" t="s">
        <v>1300</v>
      </c>
      <c r="E218">
        <f t="shared" si="3"/>
        <v>61700520</v>
      </c>
    </row>
    <row r="219" spans="1:5" x14ac:dyDescent="0.45">
      <c r="A219">
        <v>62000040</v>
      </c>
      <c r="B219" t="s">
        <v>1307</v>
      </c>
      <c r="C219">
        <v>61700530</v>
      </c>
      <c r="D219" t="s">
        <v>1301</v>
      </c>
      <c r="E219">
        <f t="shared" si="3"/>
        <v>61700530</v>
      </c>
    </row>
    <row r="220" spans="1:5" x14ac:dyDescent="0.45">
      <c r="A220">
        <v>62000050</v>
      </c>
      <c r="B220" t="s">
        <v>1308</v>
      </c>
      <c r="C220">
        <v>61700540</v>
      </c>
      <c r="D220" t="s">
        <v>1302</v>
      </c>
      <c r="E220">
        <f t="shared" si="3"/>
        <v>61700540</v>
      </c>
    </row>
    <row r="221" spans="1:5" x14ac:dyDescent="0.45">
      <c r="A221">
        <v>62000060</v>
      </c>
      <c r="B221" t="s">
        <v>1309</v>
      </c>
      <c r="C221">
        <v>61700580</v>
      </c>
      <c r="D221" t="s">
        <v>1303</v>
      </c>
      <c r="E221">
        <f t="shared" si="3"/>
        <v>61700580</v>
      </c>
    </row>
    <row r="222" spans="1:5" x14ac:dyDescent="0.45">
      <c r="A222">
        <v>62000090</v>
      </c>
      <c r="B222" t="s">
        <v>1310</v>
      </c>
      <c r="C222">
        <v>61700590</v>
      </c>
      <c r="D222" t="s">
        <v>1304</v>
      </c>
      <c r="E222">
        <f t="shared" si="3"/>
        <v>61700590</v>
      </c>
    </row>
    <row r="223" spans="1:5" x14ac:dyDescent="0.45">
      <c r="A223">
        <v>64000020</v>
      </c>
      <c r="B223" t="s">
        <v>1311</v>
      </c>
      <c r="C223">
        <v>62000020</v>
      </c>
      <c r="D223" t="s">
        <v>1305</v>
      </c>
      <c r="E223">
        <f t="shared" si="3"/>
        <v>62000020</v>
      </c>
    </row>
    <row r="224" spans="1:5" x14ac:dyDescent="0.45">
      <c r="A224">
        <v>64000040</v>
      </c>
      <c r="B224" t="s">
        <v>1312</v>
      </c>
      <c r="C224">
        <v>62000030</v>
      </c>
      <c r="D224" t="s">
        <v>1306</v>
      </c>
      <c r="E224">
        <f t="shared" si="3"/>
        <v>62000030</v>
      </c>
    </row>
    <row r="225" spans="1:5" x14ac:dyDescent="0.45">
      <c r="A225">
        <v>64000050</v>
      </c>
      <c r="B225" t="s">
        <v>1313</v>
      </c>
      <c r="C225">
        <v>62000040</v>
      </c>
      <c r="D225" t="s">
        <v>1307</v>
      </c>
      <c r="E225">
        <f t="shared" si="3"/>
        <v>62000040</v>
      </c>
    </row>
    <row r="226" spans="1:5" x14ac:dyDescent="0.45">
      <c r="A226">
        <v>71000010</v>
      </c>
      <c r="B226" t="s">
        <v>1314</v>
      </c>
      <c r="C226">
        <v>62000050</v>
      </c>
      <c r="D226" t="s">
        <v>1308</v>
      </c>
      <c r="E226">
        <f t="shared" si="3"/>
        <v>62000050</v>
      </c>
    </row>
    <row r="227" spans="1:5" x14ac:dyDescent="0.45">
      <c r="A227">
        <v>71000020</v>
      </c>
      <c r="B227" t="s">
        <v>1315</v>
      </c>
      <c r="C227">
        <v>62000060</v>
      </c>
      <c r="D227" t="s">
        <v>1309</v>
      </c>
      <c r="E227">
        <f t="shared" si="3"/>
        <v>62000060</v>
      </c>
    </row>
    <row r="228" spans="1:5" x14ac:dyDescent="0.45">
      <c r="A228">
        <v>71000040</v>
      </c>
      <c r="B228" t="s">
        <v>1316</v>
      </c>
      <c r="C228">
        <v>62000090</v>
      </c>
      <c r="D228" t="s">
        <v>1310</v>
      </c>
      <c r="E228">
        <f t="shared" si="3"/>
        <v>62000090</v>
      </c>
    </row>
    <row r="229" spans="1:5" x14ac:dyDescent="0.45">
      <c r="A229">
        <v>73000010</v>
      </c>
      <c r="B229" t="s">
        <v>1317</v>
      </c>
      <c r="C229">
        <v>64000020</v>
      </c>
      <c r="D229" t="s">
        <v>1311</v>
      </c>
      <c r="E229">
        <f t="shared" si="3"/>
        <v>64000020</v>
      </c>
    </row>
    <row r="230" spans="1:5" x14ac:dyDescent="0.45">
      <c r="A230">
        <v>77000150</v>
      </c>
      <c r="B230" t="s">
        <v>1318</v>
      </c>
      <c r="C230">
        <v>64000040</v>
      </c>
      <c r="D230" t="s">
        <v>1312</v>
      </c>
      <c r="E230">
        <f t="shared" si="3"/>
        <v>64000040</v>
      </c>
    </row>
    <row r="231" spans="1:5" x14ac:dyDescent="0.45">
      <c r="A231">
        <v>77000180</v>
      </c>
      <c r="B231" t="s">
        <v>1319</v>
      </c>
      <c r="C231">
        <v>64000050</v>
      </c>
      <c r="D231" t="s">
        <v>1313</v>
      </c>
      <c r="E231">
        <f t="shared" si="3"/>
        <v>64000050</v>
      </c>
    </row>
    <row r="232" spans="1:5" x14ac:dyDescent="0.45">
      <c r="C232">
        <v>64000060</v>
      </c>
      <c r="D232" t="s">
        <v>1561</v>
      </c>
      <c r="E232" t="e">
        <f t="shared" si="3"/>
        <v>#N/A</v>
      </c>
    </row>
    <row r="233" spans="1:5" x14ac:dyDescent="0.45">
      <c r="C233">
        <v>71000010</v>
      </c>
      <c r="D233" t="s">
        <v>1314</v>
      </c>
      <c r="E233">
        <f t="shared" si="3"/>
        <v>71000010</v>
      </c>
    </row>
    <row r="234" spans="1:5" x14ac:dyDescent="0.45">
      <c r="C234">
        <v>71000020</v>
      </c>
      <c r="D234" t="s">
        <v>1315</v>
      </c>
      <c r="E234">
        <f t="shared" si="3"/>
        <v>71000020</v>
      </c>
    </row>
    <row r="235" spans="1:5" x14ac:dyDescent="0.45">
      <c r="C235">
        <v>71000040</v>
      </c>
      <c r="D235" t="s">
        <v>1316</v>
      </c>
      <c r="E235">
        <f t="shared" si="3"/>
        <v>71000040</v>
      </c>
    </row>
    <row r="236" spans="1:5" x14ac:dyDescent="0.45">
      <c r="C236">
        <v>73000010</v>
      </c>
      <c r="D236" t="s">
        <v>1317</v>
      </c>
      <c r="E236">
        <f t="shared" si="3"/>
        <v>73000010</v>
      </c>
    </row>
    <row r="237" spans="1:5" x14ac:dyDescent="0.45">
      <c r="C237">
        <v>77000150</v>
      </c>
      <c r="D237" t="s">
        <v>1318</v>
      </c>
      <c r="E237">
        <f t="shared" si="3"/>
        <v>77000150</v>
      </c>
    </row>
    <row r="238" spans="1:5" x14ac:dyDescent="0.45">
      <c r="C238">
        <v>77000180</v>
      </c>
      <c r="D238" t="s">
        <v>1319</v>
      </c>
      <c r="E238">
        <f t="shared" si="3"/>
        <v>77000180</v>
      </c>
    </row>
  </sheetData>
  <autoFilter ref="A1:B231" xr:uid="{AA435EC1-C14A-4ABA-8F4F-20BAFB885B4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449d5ca-0062-461f-b730-35d8dc5f4282">
      <Terms xmlns="http://schemas.microsoft.com/office/infopath/2007/PartnerControls"/>
    </lcf76f155ced4ddcb4097134ff3c332f>
    <TaxCatchAll xmlns="06061dd9-4d90-4b52-bc32-3353498737d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6219A89D7024D4F9CA774A00317A036" ma:contentTypeVersion="16" ma:contentTypeDescription="Create a new document." ma:contentTypeScope="" ma:versionID="84756d0b35a0994da560d356d60583fb">
  <xsd:schema xmlns:xsd="http://www.w3.org/2001/XMLSchema" xmlns:xs="http://www.w3.org/2001/XMLSchema" xmlns:p="http://schemas.microsoft.com/office/2006/metadata/properties" xmlns:ns2="d449d5ca-0062-461f-b730-35d8dc5f4282" xmlns:ns3="06061dd9-4d90-4b52-bc32-3353498737dc" targetNamespace="http://schemas.microsoft.com/office/2006/metadata/properties" ma:root="true" ma:fieldsID="1ca173a47ffdeafee507eb26dc6ad2aa" ns2:_="" ns3:_="">
    <xsd:import namespace="d449d5ca-0062-461f-b730-35d8dc5f4282"/>
    <xsd:import namespace="06061dd9-4d90-4b52-bc32-3353498737d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AutoKeyPoints" minOccurs="0"/>
                <xsd:element ref="ns2:MediaServiceKeyPoints"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49d5ca-0062-461f-b730-35d8dc5f428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90af3b6d-72d2-4e80-9ad2-691ed63a52f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06061dd9-4d90-4b52-bc32-3353498737dc"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1b428076-a4d6-4f97-ad89-84e926dcd671}" ma:internalName="TaxCatchAll" ma:showField="CatchAllData" ma:web="06061dd9-4d90-4b52-bc32-3353498737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0B2BFDE-3684-495A-9215-A5A578887308}">
  <ds:schemaRefs>
    <ds:schemaRef ds:uri="http://schemas.microsoft.com/sharepoint/v3/contenttype/forms"/>
  </ds:schemaRefs>
</ds:datastoreItem>
</file>

<file path=customXml/itemProps2.xml><?xml version="1.0" encoding="utf-8"?>
<ds:datastoreItem xmlns:ds="http://schemas.openxmlformats.org/officeDocument/2006/customXml" ds:itemID="{9E8B4AE2-FFAC-4697-AA6E-86A1A93460A4}">
  <ds:schemaRefs>
    <ds:schemaRef ds:uri="http://schemas.microsoft.com/office/2006/metadata/properties"/>
    <ds:schemaRef ds:uri="http://schemas.microsoft.com/office/infopath/2007/PartnerControls"/>
    <ds:schemaRef ds:uri="d449d5ca-0062-461f-b730-35d8dc5f4282"/>
    <ds:schemaRef ds:uri="06061dd9-4d90-4b52-bc32-3353498737dc"/>
  </ds:schemaRefs>
</ds:datastoreItem>
</file>

<file path=customXml/itemProps3.xml><?xml version="1.0" encoding="utf-8"?>
<ds:datastoreItem xmlns:ds="http://schemas.openxmlformats.org/officeDocument/2006/customXml" ds:itemID="{D0B8C01C-68E9-4173-939C-C0413E54ED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49d5ca-0062-461f-b730-35d8dc5f4282"/>
    <ds:schemaRef ds:uri="06061dd9-4d90-4b52-bc32-3353498737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Consol (TB)</vt:lpstr>
      <vt:lpstr>Consol Entries</vt:lpstr>
      <vt:lpstr>Consol (BS)</vt:lpstr>
      <vt:lpstr>Consol (PnL)</vt:lpstr>
      <vt:lpstr>Consol (Cashflow)</vt:lpstr>
      <vt:lpstr>Cashflow Working</vt:lpstr>
      <vt:lpstr>Cashflow Working (Check)</vt:lpstr>
      <vt:lpstr>Acq of Subsidiary - BnC</vt:lpstr>
      <vt:lpstr>Project Toffee</vt:lpstr>
      <vt:lpstr>BnC (TB-Oct21)</vt:lpstr>
      <vt:lpstr>consol_Map</vt:lpstr>
      <vt:lpstr>BnC Profits Recon</vt:lpstr>
      <vt:lpstr>Name Redacted (TB)</vt:lpstr>
      <vt:lpstr>BnC (TB-Dec21)</vt:lpstr>
      <vt:lpstr>bnc_Map</vt:lpstr>
      <vt:lpstr>Nov 2021 Profit</vt:lpstr>
      <vt:lpstr>Test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Derrick How</dc:creator>
  <cp:lastModifiedBy>User</cp:lastModifiedBy>
  <dcterms:created xsi:type="dcterms:W3CDTF">2021-12-28T06:27:03Z</dcterms:created>
  <dcterms:modified xsi:type="dcterms:W3CDTF">2022-06-13T06:58:25Z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0x01010096219A89D7024D4F9CA774A00317A036</vt:lpwstr>
  </property>
  <property fmtid="{D5CDD505-2E9C-101B-9397-08002B2CF9AE}" pid="3" name="MediaServiceImageTags">
    <vt:lpwstr/>
  </property>
</Properties>
</file>